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'Исполнение'!$41:$41</definedName>
  </definedNames>
  <calcPr fullCalcOnLoad="1"/>
</workbook>
</file>

<file path=xl/sharedStrings.xml><?xml version="1.0" encoding="utf-8"?>
<sst xmlns="http://schemas.openxmlformats.org/spreadsheetml/2006/main" count="3629" uniqueCount="653">
  <si>
    <t>350 06 00</t>
  </si>
  <si>
    <t>600 06 00</t>
  </si>
  <si>
    <t xml:space="preserve">Капитальный ремонт муниципальных учреждений 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</si>
  <si>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</si>
  <si>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автобусами большой вместимости </t>
  </si>
  <si>
    <t xml:space="preserve">к решению Архангельской </t>
  </si>
  <si>
    <t>городской Думы</t>
  </si>
  <si>
    <t xml:space="preserve">от 15.12.2010  № 196    </t>
  </si>
  <si>
    <t>Реализация государственных функций в области национальной экономики</t>
  </si>
  <si>
    <t>340 00 00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</si>
  <si>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</si>
  <si>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</si>
  <si>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</si>
  <si>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>350 05 00</t>
  </si>
  <si>
    <t xml:space="preserve">350 05 00 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</si>
  <si>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</si>
  <si>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</si>
  <si>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350 07 00</t>
  </si>
  <si>
    <t>600 02 06</t>
  </si>
  <si>
    <t xml:space="preserve">600 02 06 </t>
  </si>
  <si>
    <t xml:space="preserve">Капитальный ремонт и ремонт автомобильных дорог общего пользования в границах МО "Город Архангельск" </t>
  </si>
  <si>
    <t>600 07 00</t>
  </si>
  <si>
    <t xml:space="preserve">600 07 00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</si>
  <si>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</si>
  <si>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</si>
  <si>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</si>
  <si>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</si>
  <si>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Возмещение убытков, возникающих в результате регулирования тарифов на холодную воду и водоотведение</t>
  </si>
  <si>
    <t>551 03 03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</si>
  <si>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</si>
  <si>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551 03 04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</si>
  <si>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</si>
  <si>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</si>
  <si>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</si>
  <si>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>457 00 00</t>
  </si>
  <si>
    <t xml:space="preserve">Обеспечение деятельности подведомственными учреждениями </t>
  </si>
  <si>
    <t>457 99 00</t>
  </si>
  <si>
    <t>442 89 00</t>
  </si>
  <si>
    <t>Мероприятия по обеспечению жильем граждан</t>
  </si>
  <si>
    <t>505 90 00</t>
  </si>
  <si>
    <t>Обеспечение равной доступности услуг общественного транспорта для отдельных категорий граждан на территории муниципального образования "Город Архангельск"</t>
  </si>
  <si>
    <t>505 92 00</t>
  </si>
  <si>
    <t>Малый бизнес и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</si>
  <si>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</si>
  <si>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</si>
  <si>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</si>
  <si>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Взнос муниципального образования "Город Архангельск" в уставные фонды муниципальных унитарных предприятий</t>
  </si>
  <si>
    <t>360 00 00</t>
  </si>
  <si>
    <t>Взнос в уставный фонд МУП "Водоканал"</t>
  </si>
  <si>
    <t>090</t>
  </si>
  <si>
    <t>091</t>
  </si>
  <si>
    <t>Взнов с уставный фонд МУП "Спецавтохозяйство по уборке города"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</si>
  <si>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</si>
  <si>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Обеспечение мероприятий по переселению граждан из аварийного жилищного фонда</t>
  </si>
  <si>
    <t>098 02 02</t>
  </si>
  <si>
    <t>795 33 00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</si>
  <si>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</si>
  <si>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</si>
  <si>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мероприятий по капитальному ремонту многоквартирных домов </t>
  </si>
  <si>
    <t>098 01 01</t>
  </si>
  <si>
    <t>098 01 02</t>
  </si>
  <si>
    <t>Бюджетные инвестиции за счет средств областного бюджета</t>
  </si>
  <si>
    <t>903</t>
  </si>
  <si>
    <t>Региональные целевые программы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</si>
  <si>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</si>
  <si>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 xml:space="preserve">522 14 00 </t>
  </si>
  <si>
    <t>Устройство наружного освещения территории общего пользования по набережной Северной Двины</t>
  </si>
  <si>
    <t>600 01 02</t>
  </si>
  <si>
    <t>600 08 00</t>
  </si>
  <si>
    <t>600 08 01</t>
  </si>
  <si>
    <t>600 08 02</t>
  </si>
  <si>
    <t>Устройство пешеходных ограждений</t>
  </si>
  <si>
    <t>600 08 03</t>
  </si>
  <si>
    <t>600 08 04</t>
  </si>
  <si>
    <t>Реализация мероприятия "Благоустройство территории по проспекту Троицкий" в рамках долгосрочной целевой программы Архангельской области "Родина Ломоносова" на 2009-2011 годы</t>
  </si>
  <si>
    <t xml:space="preserve">Ремонт проспекта Троицкий </t>
  </si>
  <si>
    <t>Благоустройство территории</t>
  </si>
  <si>
    <t>600 08 05</t>
  </si>
  <si>
    <t>Долгосрочная целевая программа Архангельской области "Родина Ломоносова" на 2009 – 2011 годы</t>
  </si>
  <si>
    <t>522 31 00</t>
  </si>
  <si>
    <t xml:space="preserve">522 31 00 </t>
  </si>
  <si>
    <t>Cубсидии МУП "Горсвет" на возмещение затрат, связанных с выполнением работ по капитальному ремонту объектов наружного освещения</t>
  </si>
  <si>
    <t>Субсидии МУП "Архкомхоз" на возмещение затрат, связанных с выполнением работ по текущему ремонту пешеходных ограждений</t>
  </si>
  <si>
    <t>"ПРИЛОЖЕНИЕ № 5</t>
  </si>
  <si>
    <t>Проект</t>
  </si>
  <si>
    <t>АРХАНГЕЛЬСКАЯ ГОРОДСКАЯ ДУМА</t>
  </si>
  <si>
    <t>Двадцатая сессия двадцать пятого созыва</t>
  </si>
  <si>
    <t>Р Е Ш Е Н И Е</t>
  </si>
  <si>
    <t>от ________________ 2011 г. № _____</t>
  </si>
  <si>
    <t>от 15.12.2010 № 196 "О городском бюджете на 2011 год"</t>
  </si>
  <si>
    <r>
      <t xml:space="preserve">         Архангельская городская Дума </t>
    </r>
    <r>
      <rPr>
        <b/>
        <sz val="14"/>
        <rFont val="Times New Roman"/>
        <family val="1"/>
      </rPr>
      <t>р е ш и л а</t>
    </r>
    <r>
      <rPr>
        <sz val="14"/>
        <rFont val="Times New Roman"/>
        <family val="1"/>
      </rPr>
      <t>:</t>
    </r>
  </si>
  <si>
    <t xml:space="preserve">          1. В пункте 19 цифры "29 450" заменить цифрами "9 161".</t>
  </si>
  <si>
    <t>092</t>
  </si>
  <si>
    <t>Взнос в уставный фонд МУП "Стройсервис"</t>
  </si>
  <si>
    <t>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</si>
  <si>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 xml:space="preserve">         3. Приложение № 5 "Распределение бюджетных ассигнований на 2011 год по разделам, подразделам, целевым статьям и видам расходов классификации расходов бюджета" изложить в следующей редакции:</t>
  </si>
  <si>
    <t xml:space="preserve">         2. Пункт 24 после слов "оборотных средств" дополнить словами ", муниципального унитарного предприятия по капитальному строительству "Стройсервис" муниципального образования "Город Архангельск" в сумме 6 300 тыс. рублей в целях возмещения затрат на уплату процентов по кредитам, полученным на строительство многоэтажного жилого дома по улице 40 лет Великой Победы в Северном территориальном округе города Архангельска".</t>
  </si>
  <si>
    <t>О внесении изменений и дополнения в решение Архангельской городской Думы</t>
  </si>
  <si>
    <t xml:space="preserve">        Внести в решение Архангельской городской Думы от 15.12.2010 № 196 "О городском бюджете на 2011 год" (с изменениями и дополнениями) следующие изменения и дополнение:</t>
  </si>
  <si>
    <t>522 11 00</t>
  </si>
  <si>
    <t>Хранение самовольно установленных временных объектов</t>
  </si>
  <si>
    <t>Утверждено по бюджету (в ред. от 15.12.2011       № 365),             тыс. рублей</t>
  </si>
  <si>
    <t>Уточненная сводная  бюджетная роспись,     тыс. рублей</t>
  </si>
  <si>
    <t>Кассовое исполнение, тыс. рублей</t>
  </si>
  <si>
    <t>Процент исполнения к уточненной сводной бюджетной росписи,     %</t>
  </si>
  <si>
    <t>по разделам, подразделам, целевым статьям и видам расходов классификации расходов бюджета</t>
  </si>
  <si>
    <t>001 00 00</t>
  </si>
  <si>
    <t>001 43 00</t>
  </si>
  <si>
    <t>Руководство и управление в сфере установленных функций</t>
  </si>
  <si>
    <t>Осуществление полномочий по подготовке проведения статистических переписей</t>
  </si>
  <si>
    <t xml:space="preserve">04 </t>
  </si>
  <si>
    <t>315 00 00</t>
  </si>
  <si>
    <t>315 02 00</t>
  </si>
  <si>
    <t>315 02 06</t>
  </si>
  <si>
    <t>Дорожное хозяйство</t>
  </si>
  <si>
    <t>Поддержка дорожного хозяйства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</si>
  <si>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</si>
  <si>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340 07 00</t>
  </si>
  <si>
    <t>340 07 02</t>
  </si>
  <si>
    <t>Закупка для государственных нужд техники, производимой на территории Российской Федерации</t>
  </si>
  <si>
    <t>100 00 00</t>
  </si>
  <si>
    <t>100 88 00</t>
  </si>
  <si>
    <t>100 88 20</t>
  </si>
  <si>
    <t>104 00 00</t>
  </si>
  <si>
    <t>104 02 00</t>
  </si>
  <si>
    <t>Федеральные целевые программы</t>
  </si>
  <si>
    <t xml:space="preserve">Федеральная целевая программа "Жилище" на 2011-2015 годы </t>
  </si>
  <si>
    <t>Подпрограмма "Обеспечение жильем молодых семей"</t>
  </si>
  <si>
    <t xml:space="preserve">Федеральная целевая программа "Жилище" на 2002-2010 годы </t>
  </si>
  <si>
    <t>522 32 00</t>
  </si>
  <si>
    <t xml:space="preserve">Долгосрочная целевая программа Архангельской области "Обеспечение жильем молодых семей" на 2009-2011 годы </t>
  </si>
  <si>
    <t>551 01 11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</si>
  <si>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</si>
  <si>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</si>
  <si>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</si>
  <si>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514 10 00</t>
  </si>
  <si>
    <t>Осуществление государственных полномочий по выплате вознаграждений профессиональным опекунам</t>
  </si>
  <si>
    <t>Закупка автотранспортных средств и коммунальной техники</t>
  </si>
  <si>
    <t>098 02 10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</si>
  <si>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</si>
  <si>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102 01 04</t>
  </si>
  <si>
    <t>Бюджетные инвестиции в объекты капитального строительства в части оплаты платежей предоставляемых помещений, превышающих общую площадь расселяемых помещений</t>
  </si>
  <si>
    <t>551 01 15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</si>
  <si>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</si>
  <si>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070 04 00</t>
  </si>
  <si>
    <t>070 04 01</t>
  </si>
  <si>
    <t>Резервные фонды  исполнительных органов государственной власти субъектов Российской Федерации</t>
  </si>
  <si>
    <t>520 27 00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</si>
  <si>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</si>
  <si>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420 01 00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</si>
  <si>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</si>
  <si>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551 01 04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</si>
  <si>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</si>
  <si>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520 09 00</t>
  </si>
  <si>
    <t>520 09 02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</si>
  <si>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</si>
  <si>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межбюджетных трансфертов из федерального бюджета</t>
  </si>
  <si>
    <t>436 21 00</t>
  </si>
  <si>
    <t>Модернизация региональных систем общего образования</t>
  </si>
  <si>
    <t>522 19 00</t>
  </si>
  <si>
    <t>Долгосрочня целевая программа Архангельской области "Молодежь Поморья (2009-2011 годы)"</t>
  </si>
  <si>
    <t xml:space="preserve">795 19 00 </t>
  </si>
  <si>
    <t>795 23 07</t>
  </si>
  <si>
    <t>Обеспечение безопасности библиотек</t>
  </si>
  <si>
    <t>Массовый спорт</t>
  </si>
  <si>
    <t>522 23 00</t>
  </si>
  <si>
    <t>522 23 02</t>
  </si>
  <si>
    <t>Программа модернизации здравоохранения Архангельской области на 2011-2012 годы</t>
  </si>
  <si>
    <t>Программа модернизации здравоохранения Архангельской области на 2011-2012 годы за счет межбюджетных трансфертов из федерального бюджета</t>
  </si>
  <si>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</si>
  <si>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</si>
  <si>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</si>
  <si>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</si>
  <si>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</si>
  <si>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</si>
  <si>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</si>
  <si>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</si>
  <si>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</si>
  <si>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</si>
  <si>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</si>
  <si>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</si>
  <si>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</si>
  <si>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</si>
  <si>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</si>
  <si>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</si>
  <si>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</si>
  <si>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</si>
  <si>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</si>
  <si>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</si>
  <si>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</si>
  <si>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</si>
  <si>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</si>
  <si>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</si>
  <si>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</si>
  <si>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</si>
  <si>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</si>
  <si>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</si>
  <si>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</si>
  <si>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</si>
  <si>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</si>
  <si>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</si>
  <si>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</si>
  <si>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</si>
  <si>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</si>
  <si>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</si>
  <si>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</si>
  <si>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</si>
  <si>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</si>
  <si>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</si>
  <si>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</si>
  <si>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</si>
  <si>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</si>
  <si>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</si>
  <si>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</si>
  <si>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</si>
  <si>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</si>
  <si>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</si>
  <si>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</si>
  <si>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</si>
  <si>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</si>
  <si>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</si>
  <si>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</si>
  <si>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</si>
  <si>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</si>
  <si>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</si>
  <si>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</si>
  <si>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</si>
  <si>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</si>
  <si>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</si>
  <si>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</si>
  <si>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</si>
  <si>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</si>
  <si>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</si>
  <si>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</si>
  <si>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</si>
  <si>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</si>
  <si>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</si>
  <si>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</si>
  <si>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</si>
  <si>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</si>
  <si>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</si>
  <si>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</si>
  <si>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</si>
  <si>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</si>
  <si>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</si>
  <si>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</si>
  <si>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</si>
  <si>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</si>
  <si>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</si>
  <si>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</si>
  <si>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</si>
  <si>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</si>
  <si>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</si>
  <si>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</si>
  <si>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</si>
  <si>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</si>
  <si>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</si>
  <si>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</si>
  <si>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</si>
  <si>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</si>
  <si>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</si>
  <si>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</si>
  <si>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</si>
  <si>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</si>
  <si>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</si>
  <si>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</si>
  <si>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</si>
  <si>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</si>
  <si>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</si>
  <si>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</si>
  <si>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</si>
  <si>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</si>
  <si>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</si>
  <si>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</si>
  <si>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</si>
  <si>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</si>
  <si>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</si>
  <si>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</si>
  <si>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</si>
  <si>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</si>
  <si>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</si>
  <si>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</si>
  <si>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</si>
  <si>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</si>
  <si>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</si>
  <si>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</si>
  <si>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</si>
  <si>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</si>
  <si>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</si>
  <si>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</si>
  <si>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</si>
  <si>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</si>
  <si>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</si>
  <si>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</si>
  <si>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</si>
  <si>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</si>
  <si>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</si>
  <si>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</si>
  <si>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</si>
  <si>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</si>
  <si>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</si>
  <si>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</si>
  <si>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</si>
  <si>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</si>
  <si>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</si>
  <si>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</si>
  <si>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</si>
  <si>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</si>
  <si>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</si>
  <si>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</si>
  <si>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</si>
  <si>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</si>
  <si>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</si>
  <si>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</si>
  <si>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</si>
  <si>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</si>
  <si>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</si>
  <si>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</si>
  <si>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</si>
  <si>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</si>
  <si>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</si>
  <si>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</si>
  <si>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</si>
  <si>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</si>
  <si>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</si>
  <si>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</si>
  <si>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</si>
  <si>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</si>
  <si>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</si>
  <si>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</si>
  <si>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</si>
  <si>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</si>
  <si>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</si>
  <si>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</si>
  <si>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</si>
  <si>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</si>
  <si>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</si>
  <si>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</si>
  <si>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</si>
  <si>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</si>
  <si>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</si>
  <si>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</si>
  <si>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</si>
  <si>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</si>
  <si>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</si>
  <si>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</si>
  <si>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</si>
  <si>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</si>
  <si>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</si>
  <si>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</si>
  <si>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</si>
  <si>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</si>
  <si>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795 21 00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</si>
  <si>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</si>
  <si>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</si>
  <si>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</si>
  <si>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</si>
  <si>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</si>
  <si>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</si>
  <si>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</si>
  <si>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Мероприятия в сфере культуры</t>
  </si>
  <si>
    <t>024</t>
  </si>
  <si>
    <t>795 01 00</t>
  </si>
  <si>
    <t>795 06 00</t>
  </si>
  <si>
    <t>Расходы городского бюджета за 2011 год</t>
  </si>
  <si>
    <t>к решению Архангельской</t>
  </si>
  <si>
    <t>от                        №</t>
  </si>
  <si>
    <t>ПРИЛОЖЕНИЕ № 4</t>
  </si>
  <si>
    <t>____________________________________</t>
  </si>
  <si>
    <t>Капитальный ремонт детских школ искусств</t>
  </si>
  <si>
    <t>Капитальный ремонт детских спортивных школ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</si>
  <si>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</si>
  <si>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</si>
  <si>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</si>
  <si>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</si>
  <si>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</si>
  <si>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</si>
  <si>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</si>
  <si>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</si>
  <si>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</si>
  <si>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</si>
  <si>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</si>
  <si>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</si>
  <si>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486 00 00</t>
  </si>
  <si>
    <t>486 99 00</t>
  </si>
  <si>
    <t>795 03 00</t>
  </si>
  <si>
    <t>795 20 00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</si>
  <si>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</si>
  <si>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</si>
  <si>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</si>
  <si>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</si>
  <si>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</si>
  <si>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</si>
  <si>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</si>
  <si>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</si>
  <si>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</si>
  <si>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</si>
  <si>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</si>
  <si>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</si>
  <si>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</si>
  <si>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</si>
  <si>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</si>
  <si>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</si>
  <si>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</si>
  <si>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</si>
  <si>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</si>
  <si>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</si>
  <si>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</si>
  <si>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</si>
  <si>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</si>
  <si>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</si>
  <si>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</si>
  <si>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</si>
  <si>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</si>
  <si>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</si>
  <si>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</si>
  <si>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</si>
  <si>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</si>
  <si>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</si>
  <si>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>795 23 02</t>
  </si>
  <si>
    <t>795 23 04</t>
  </si>
  <si>
    <t>795 23 10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</si>
  <si>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</si>
  <si>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</si>
  <si>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</si>
  <si>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</si>
  <si>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</si>
  <si>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</si>
  <si>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</si>
  <si>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</si>
  <si>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</si>
  <si>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</si>
  <si>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</si>
  <si>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</si>
  <si>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</si>
  <si>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</si>
  <si>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</si>
  <si>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</si>
  <si>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</si>
  <si>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</si>
  <si>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</si>
  <si>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</si>
  <si>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</si>
  <si>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</si>
  <si>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</si>
  <si>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</si>
  <si>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</si>
  <si>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</si>
  <si>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</si>
  <si>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</si>
  <si>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</si>
  <si>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</si>
  <si>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</si>
  <si>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</si>
  <si>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</si>
  <si>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</si>
  <si>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</si>
  <si>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</si>
  <si>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</si>
  <si>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</si>
  <si>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</si>
  <si>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</si>
  <si>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</si>
  <si>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</si>
  <si>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</si>
  <si>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</si>
  <si>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</si>
  <si>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</si>
  <si>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</si>
  <si>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</si>
  <si>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</si>
  <si>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</si>
  <si>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</si>
  <si>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</si>
  <si>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</si>
  <si>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</si>
  <si>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</si>
  <si>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</si>
  <si>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</si>
  <si>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</si>
  <si>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</si>
  <si>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</si>
  <si>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</si>
  <si>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</si>
  <si>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</si>
  <si>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</si>
  <si>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</si>
  <si>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</si>
  <si>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</si>
  <si>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</si>
  <si>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</si>
  <si>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</si>
  <si>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</si>
  <si>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</si>
  <si>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</si>
  <si>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</si>
  <si>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</si>
  <si>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</si>
  <si>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</si>
  <si>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</si>
  <si>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</si>
  <si>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</si>
  <si>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</si>
  <si>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</si>
  <si>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</si>
  <si>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</si>
  <si>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</si>
  <si>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</si>
  <si>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</si>
  <si>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</si>
  <si>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</si>
  <si>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</si>
  <si>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</si>
  <si>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</si>
  <si>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</si>
  <si>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</si>
  <si>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</si>
  <si>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</si>
  <si>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</si>
  <si>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</si>
  <si>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</si>
  <si>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</si>
  <si>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</si>
  <si>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</si>
  <si>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</si>
  <si>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</si>
  <si>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</si>
  <si>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</si>
  <si>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522 14 00</t>
  </si>
  <si>
    <t>Реализация основных общеобразовательных программ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</si>
  <si>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</si>
  <si>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</si>
  <si>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</si>
  <si>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</si>
  <si>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</si>
  <si>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</si>
  <si>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</si>
  <si>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</si>
  <si>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</si>
  <si>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</si>
  <si>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</si>
  <si>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</si>
  <si>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</si>
  <si>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</si>
  <si>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</si>
  <si>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</si>
  <si>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</si>
  <si>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</si>
  <si>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</si>
  <si>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</si>
  <si>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</si>
  <si>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</si>
  <si>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</si>
  <si>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</si>
  <si>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</si>
  <si>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</si>
  <si>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</si>
  <si>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</si>
  <si>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</si>
  <si>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13</t>
  </si>
  <si>
    <t>Мероприятия по обеспечению безопасности людей на водных объектах</t>
  </si>
  <si>
    <t>218 02 00</t>
  </si>
  <si>
    <t>436 10 00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</si>
  <si>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</si>
  <si>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</si>
  <si>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</si>
  <si>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</si>
  <si>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</si>
  <si>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</si>
  <si>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520 30 00</t>
  </si>
  <si>
    <t>303 04 00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</si>
  <si>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</si>
  <si>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</si>
  <si>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</si>
  <si>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</si>
  <si>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</si>
  <si>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Иные мероприятия в области образования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</si>
  <si>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</si>
  <si>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</si>
  <si>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</si>
  <si>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>440 02 00</t>
  </si>
  <si>
    <t xml:space="preserve">Мероприятия в области здравоохранения </t>
  </si>
  <si>
    <t>067</t>
  </si>
  <si>
    <t>Мероприятия в области физической культуры и спорта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</si>
  <si>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</si>
  <si>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</si>
  <si>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Долгосрочная целевая программа "Памятники истории и культуры Архангельска (2010-2012 годы" на территории муниципального образования "Город Архангельск"</t>
  </si>
  <si>
    <t>Долгосрочная целевая программа "Развитие туризма в городе Архангельске на 2011-2013 годы"</t>
  </si>
  <si>
    <t>795 24 00</t>
  </si>
  <si>
    <t>795 31 00</t>
  </si>
  <si>
    <t>795 25 00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</si>
  <si>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</si>
  <si>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</si>
  <si>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</si>
  <si>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</si>
  <si>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</si>
  <si>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</si>
  <si>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</si>
  <si>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</si>
  <si>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>Долгосрочная целевая программа "Социальные инвестиции на 2011-2013 годы"</t>
  </si>
  <si>
    <t>069</t>
  </si>
  <si>
    <t>Руководитель контрольно-счетной палаты муниципального образования и его заместители</t>
  </si>
  <si>
    <t>002 25 00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</si>
  <si>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</si>
  <si>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</si>
  <si>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</si>
  <si>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</si>
  <si>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</si>
  <si>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</si>
  <si>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</si>
  <si>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</si>
  <si>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</si>
  <si>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486 89 00</t>
  </si>
  <si>
    <t>470 89 00</t>
  </si>
  <si>
    <t>471 89 00</t>
  </si>
  <si>
    <t>507 89 00</t>
  </si>
  <si>
    <t>Долгосрочная целевая программа Архангельской области "Развитие малого и среднего предпринимательства в Архангельской области на 2009 – 2011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</si>
  <si>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</si>
  <si>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"Развитие жилищного строительства, коммунальной и инженерной инфраструктуры на 2011-2013 годы"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</si>
  <si>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</si>
  <si>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</si>
  <si>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Проведение выборов и референдумов </t>
  </si>
  <si>
    <t xml:space="preserve">Проведение выборов в представительные органы муниципального образования  </t>
  </si>
  <si>
    <t>020 00 00</t>
  </si>
  <si>
    <t>020 06 00</t>
  </si>
  <si>
    <t>Капитальный ремонт объектов гражданской обороны</t>
  </si>
  <si>
    <t>Закупка специализированной техники</t>
  </si>
  <si>
    <t>Долгосрочная целевая программа "Установка детских игровых площадок в городе Архангельске на 2011-2013 годы"</t>
  </si>
  <si>
    <t xml:space="preserve">Обеспечение безопасности детских спортивных школ </t>
  </si>
  <si>
    <t>Обеспечение безопасности детских школ искусств</t>
  </si>
  <si>
    <t>795 23 03</t>
  </si>
  <si>
    <t>Обеспечение безопасности школ-детских садов, школ начальных, неполных средних и средних</t>
  </si>
  <si>
    <t xml:space="preserve">Обеспечение безопасности домов культуры </t>
  </si>
  <si>
    <t>795 23 06</t>
  </si>
  <si>
    <t>476 89 00</t>
  </si>
  <si>
    <t>477 89 00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</si>
  <si>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</si>
  <si>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</si>
  <si>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Обеспечение бесплатным питанием (молоком или кисломолочными напитками) учащихся начальных (1 - 4) классов</t>
  </si>
  <si>
    <t>Обеспечение безопасности учреждений, оказывающих содействие в осуществлении деятельности по опеке и попечительству</t>
  </si>
  <si>
    <t>Субсидии некоммерческим организациям</t>
  </si>
  <si>
    <t>019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</si>
  <si>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</si>
  <si>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</si>
  <si>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</si>
  <si>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</si>
  <si>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</si>
  <si>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</si>
  <si>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</si>
  <si>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</si>
  <si>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</si>
  <si>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</si>
  <si>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219 88 00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</si>
</sst>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2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/>
    </xf>
    <xf numFmtId="0" fontId="2" fillId="0" borderId="20" xfId="0" applyFont="1" applyBorder="1" applyAlignment="1">
      <alignment wrapText="1"/>
    </xf>
    <xf numFmtId="49" fontId="2" fillId="0" borderId="25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27" xfId="0" applyFont="1" applyFill="1" applyBorder="1" applyAlignment="1">
      <alignment vertical="top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vertical="top"/>
    </xf>
    <xf numFmtId="0" fontId="1" fillId="0" borderId="28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1" fillId="0" borderId="11" xfId="0" applyFont="1" applyBorder="1" applyAlignment="1">
      <alignment vertical="justify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/>
    </xf>
    <xf numFmtId="168" fontId="1" fillId="0" borderId="33" xfId="0" applyNumberFormat="1" applyFont="1" applyBorder="1" applyAlignment="1">
      <alignment/>
    </xf>
    <xf numFmtId="168" fontId="1" fillId="0" borderId="34" xfId="0" applyNumberFormat="1" applyFont="1" applyBorder="1" applyAlignment="1">
      <alignment/>
    </xf>
    <xf numFmtId="168" fontId="4" fillId="0" borderId="33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35" xfId="0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justify" vertical="top" wrapText="1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8"/>
  <sheetViews>
    <sheetView tabSelected="1" zoomScale="120" zoomScaleNormal="120" zoomScalePageLayoutView="0" workbookViewId="0" topLeftCell="A396">
      <selection activeCell="A404" sqref="A404"/>
    </sheetView>
  </sheetViews>
  <sheetFormatPr defaultColWidth="9.00390625" defaultRowHeight="12.75"/>
  <cols>
    <col min="1" max="1" width="69.625" style="1" customWidth="1"/>
    <col min="2" max="2" width="4.125" style="72" customWidth="1"/>
    <col min="3" max="3" width="4.625" style="72" customWidth="1"/>
    <col min="4" max="4" width="10.125" style="61" customWidth="1"/>
    <col min="5" max="5" width="4.375" style="72" customWidth="1"/>
    <col min="6" max="6" width="10.75390625" style="61" hidden="1" customWidth="1"/>
    <col min="7" max="7" width="10.75390625" style="118" hidden="1" customWidth="1"/>
    <col min="8" max="8" width="10.75390625" style="118" customWidth="1"/>
    <col min="9" max="9" width="10.75390625" style="118" hidden="1" customWidth="1"/>
    <col min="10" max="16" width="9.125" style="118" customWidth="1"/>
  </cols>
  <sheetData>
    <row r="1" spans="1:6" ht="16.5" customHeight="1" hidden="1">
      <c r="A1" s="129"/>
      <c r="B1" s="130"/>
      <c r="C1" s="130"/>
      <c r="D1" s="129"/>
      <c r="E1" s="130"/>
      <c r="F1" s="131" t="s">
        <v>84</v>
      </c>
    </row>
    <row r="2" spans="1:6" ht="16.5" customHeight="1" hidden="1">
      <c r="A2" s="129"/>
      <c r="B2" s="130"/>
      <c r="C2" s="130"/>
      <c r="D2" s="129"/>
      <c r="E2" s="130"/>
      <c r="F2" s="129"/>
    </row>
    <row r="3" spans="1:6" ht="19.5" customHeight="1" hidden="1">
      <c r="A3" s="162" t="s">
        <v>85</v>
      </c>
      <c r="B3" s="163"/>
      <c r="C3" s="163"/>
      <c r="D3" s="163"/>
      <c r="E3" s="163"/>
      <c r="F3" s="163"/>
    </row>
    <row r="4" spans="1:6" ht="19.5" customHeight="1" hidden="1">
      <c r="A4" s="162" t="s">
        <v>86</v>
      </c>
      <c r="B4" s="163"/>
      <c r="C4" s="163"/>
      <c r="D4" s="163"/>
      <c r="E4" s="163"/>
      <c r="F4" s="163"/>
    </row>
    <row r="5" spans="1:6" ht="16.5" customHeight="1" hidden="1">
      <c r="A5" s="129"/>
      <c r="B5" s="130"/>
      <c r="C5" s="130"/>
      <c r="D5" s="129"/>
      <c r="E5" s="130"/>
      <c r="F5" s="129"/>
    </row>
    <row r="6" spans="1:6" ht="16.5" customHeight="1" hidden="1">
      <c r="A6" s="129"/>
      <c r="B6" s="130"/>
      <c r="C6" s="130"/>
      <c r="D6" s="129"/>
      <c r="E6" s="130"/>
      <c r="F6" s="129"/>
    </row>
    <row r="7" spans="1:6" ht="19.5" customHeight="1" hidden="1">
      <c r="A7" s="162" t="s">
        <v>87</v>
      </c>
      <c r="B7" s="163"/>
      <c r="C7" s="163"/>
      <c r="D7" s="163"/>
      <c r="E7" s="163"/>
      <c r="F7" s="163"/>
    </row>
    <row r="8" spans="1:6" ht="16.5" customHeight="1" hidden="1">
      <c r="A8" s="129"/>
      <c r="B8" s="130"/>
      <c r="C8" s="130"/>
      <c r="D8" s="129"/>
      <c r="E8" s="130"/>
      <c r="F8" s="129"/>
    </row>
    <row r="9" spans="1:6" ht="19.5" customHeight="1" hidden="1">
      <c r="A9" s="164" t="s">
        <v>88</v>
      </c>
      <c r="B9" s="165"/>
      <c r="C9" s="165"/>
      <c r="D9" s="165"/>
      <c r="E9" s="165"/>
      <c r="F9" s="165"/>
    </row>
    <row r="10" spans="1:6" ht="16.5" customHeight="1" hidden="1">
      <c r="A10" s="126"/>
      <c r="B10" s="132"/>
      <c r="C10" s="132"/>
      <c r="D10" s="126"/>
      <c r="E10" s="132"/>
      <c r="F10" s="126"/>
    </row>
    <row r="11" spans="1:6" ht="16.5" customHeight="1" hidden="1">
      <c r="A11" s="126"/>
      <c r="B11" s="132"/>
      <c r="C11" s="132"/>
      <c r="D11" s="126"/>
      <c r="E11" s="132"/>
      <c r="F11" s="126"/>
    </row>
    <row r="12" spans="1:6" ht="19.5" customHeight="1" hidden="1">
      <c r="A12" s="162" t="s">
        <v>97</v>
      </c>
      <c r="B12" s="163"/>
      <c r="C12" s="163"/>
      <c r="D12" s="163"/>
      <c r="E12" s="163"/>
      <c r="F12" s="163"/>
    </row>
    <row r="13" spans="1:6" ht="19.5" customHeight="1" hidden="1">
      <c r="A13" s="162" t="s">
        <v>89</v>
      </c>
      <c r="B13" s="163"/>
      <c r="C13" s="163"/>
      <c r="D13" s="163"/>
      <c r="E13" s="163"/>
      <c r="F13" s="163"/>
    </row>
    <row r="14" spans="1:6" ht="16.5" customHeight="1" hidden="1">
      <c r="A14" s="126"/>
      <c r="B14" s="132"/>
      <c r="C14" s="132"/>
      <c r="D14" s="126"/>
      <c r="E14" s="132"/>
      <c r="F14" s="126"/>
    </row>
    <row r="15" spans="1:6" ht="16.5" customHeight="1" hidden="1">
      <c r="A15" s="126"/>
      <c r="B15" s="132"/>
      <c r="C15" s="132"/>
      <c r="D15" s="126"/>
      <c r="E15" s="132"/>
      <c r="F15" s="126"/>
    </row>
    <row r="16" spans="1:6" ht="19.5" customHeight="1" hidden="1">
      <c r="A16" s="168" t="s">
        <v>90</v>
      </c>
      <c r="B16" s="169"/>
      <c r="C16" s="169"/>
      <c r="D16" s="169"/>
      <c r="E16" s="169"/>
      <c r="F16" s="169"/>
    </row>
    <row r="17" spans="1:6" ht="16.5" customHeight="1" hidden="1">
      <c r="A17" s="126"/>
      <c r="B17" s="132"/>
      <c r="C17" s="132"/>
      <c r="D17" s="126"/>
      <c r="E17" s="132"/>
      <c r="F17" s="126"/>
    </row>
    <row r="18" spans="1:6" ht="55.5" customHeight="1" hidden="1">
      <c r="A18" s="159" t="s">
        <v>98</v>
      </c>
      <c r="B18" s="170"/>
      <c r="C18" s="170"/>
      <c r="D18" s="170"/>
      <c r="E18" s="170"/>
      <c r="F18" s="170"/>
    </row>
    <row r="19" spans="1:6" ht="19.5" customHeight="1" hidden="1">
      <c r="A19" s="159" t="s">
        <v>91</v>
      </c>
      <c r="B19" s="160"/>
      <c r="C19" s="160"/>
      <c r="D19" s="160"/>
      <c r="E19" s="160"/>
      <c r="F19" s="160"/>
    </row>
    <row r="20" spans="1:6" ht="19.5" customHeight="1" hidden="1">
      <c r="A20" s="134"/>
      <c r="B20" s="135"/>
      <c r="C20" s="135"/>
      <c r="D20" s="135"/>
      <c r="E20" s="135"/>
      <c r="F20" s="135"/>
    </row>
    <row r="21" spans="1:6" ht="97.5" customHeight="1" hidden="1">
      <c r="A21" s="159" t="s">
        <v>96</v>
      </c>
      <c r="B21" s="167"/>
      <c r="C21" s="167"/>
      <c r="D21" s="167"/>
      <c r="E21" s="167"/>
      <c r="F21" s="167"/>
    </row>
    <row r="22" spans="1:6" ht="19.5" customHeight="1" hidden="1">
      <c r="A22" s="134"/>
      <c r="B22" s="135"/>
      <c r="C22" s="135"/>
      <c r="D22" s="135"/>
      <c r="E22" s="135"/>
      <c r="F22" s="135"/>
    </row>
    <row r="23" spans="1:6" ht="49.5" customHeight="1" hidden="1">
      <c r="A23" s="176" t="s">
        <v>95</v>
      </c>
      <c r="B23" s="156"/>
      <c r="C23" s="156"/>
      <c r="D23" s="156"/>
      <c r="E23" s="156"/>
      <c r="F23" s="156"/>
    </row>
    <row r="24" spans="1:6" ht="16.5" customHeight="1" hidden="1">
      <c r="A24" s="126"/>
      <c r="B24" s="127"/>
      <c r="C24" s="127"/>
      <c r="D24" s="128"/>
      <c r="E24" s="127"/>
      <c r="F24" s="128"/>
    </row>
    <row r="25" spans="1:5" ht="16.5" customHeight="1" hidden="1">
      <c r="A25" s="2"/>
      <c r="B25" s="97" t="s">
        <v>83</v>
      </c>
      <c r="C25" s="62"/>
      <c r="D25" s="62"/>
      <c r="E25" s="62"/>
    </row>
    <row r="26" spans="1:5" ht="12" customHeight="1" hidden="1">
      <c r="A26" s="2"/>
      <c r="B26" s="98"/>
      <c r="C26" s="8"/>
      <c r="D26" s="8"/>
      <c r="E26" s="8"/>
    </row>
    <row r="27" spans="1:5" ht="16.5" customHeight="1" hidden="1">
      <c r="A27" s="2"/>
      <c r="B27" s="123" t="s">
        <v>5</v>
      </c>
      <c r="C27" s="73"/>
      <c r="D27" s="73"/>
      <c r="E27" s="73"/>
    </row>
    <row r="28" spans="1:5" ht="16.5" customHeight="1" hidden="1">
      <c r="A28" s="2"/>
      <c r="B28" s="123" t="s">
        <v>6</v>
      </c>
      <c r="C28" s="73"/>
      <c r="D28" s="73"/>
      <c r="E28" s="73"/>
    </row>
    <row r="29" spans="1:5" ht="16.5" customHeight="1" hidden="1">
      <c r="A29" s="2"/>
      <c r="B29" s="123" t="s">
        <v>7</v>
      </c>
      <c r="C29" s="73"/>
      <c r="D29" s="73"/>
      <c r="E29" s="73"/>
    </row>
    <row r="30" spans="1:5" ht="16.5" customHeight="1" hidden="1">
      <c r="A30" s="2"/>
      <c r="B30" s="99"/>
      <c r="C30" s="74"/>
      <c r="D30" s="75"/>
      <c r="E30" s="76"/>
    </row>
    <row r="31" spans="1:9" ht="16.5" customHeight="1">
      <c r="A31" s="123"/>
      <c r="B31" s="99"/>
      <c r="C31" s="171" t="s">
        <v>367</v>
      </c>
      <c r="D31" s="172"/>
      <c r="E31" s="172"/>
      <c r="F31" s="172"/>
      <c r="G31" s="172"/>
      <c r="H31" s="172"/>
      <c r="I31" s="172"/>
    </row>
    <row r="32" spans="1:9" ht="16.5" customHeight="1">
      <c r="A32" s="123"/>
      <c r="B32" s="99"/>
      <c r="C32" s="99"/>
      <c r="D32" s="142"/>
      <c r="E32" s="99"/>
      <c r="F32" s="142"/>
      <c r="G32" s="161"/>
      <c r="H32" s="161"/>
      <c r="I32" s="161"/>
    </row>
    <row r="33" spans="1:9" ht="16.5" customHeight="1">
      <c r="A33" s="123"/>
      <c r="B33" s="99"/>
      <c r="C33" s="157" t="s">
        <v>365</v>
      </c>
      <c r="D33" s="158"/>
      <c r="E33" s="158"/>
      <c r="F33" s="158"/>
      <c r="G33" s="158"/>
      <c r="H33" s="158"/>
      <c r="I33" s="143"/>
    </row>
    <row r="34" spans="1:9" ht="16.5" customHeight="1">
      <c r="A34" s="123"/>
      <c r="B34" s="99"/>
      <c r="C34" s="157" t="s">
        <v>6</v>
      </c>
      <c r="D34" s="158"/>
      <c r="E34" s="158"/>
      <c r="F34" s="158"/>
      <c r="G34" s="158"/>
      <c r="H34" s="158"/>
      <c r="I34" s="143"/>
    </row>
    <row r="35" spans="1:9" ht="16.5" customHeight="1">
      <c r="A35" s="123"/>
      <c r="B35" s="99"/>
      <c r="C35" s="157" t="s">
        <v>366</v>
      </c>
      <c r="D35" s="158"/>
      <c r="E35" s="158"/>
      <c r="F35" s="158"/>
      <c r="G35" s="158"/>
      <c r="H35" s="158"/>
      <c r="I35" s="143"/>
    </row>
    <row r="36" spans="1:9" ht="16.5" customHeight="1">
      <c r="A36" s="123"/>
      <c r="B36" s="99"/>
      <c r="C36" s="142"/>
      <c r="E36" s="61"/>
      <c r="G36" s="61"/>
      <c r="H36" s="61"/>
      <c r="I36" s="143"/>
    </row>
    <row r="37" spans="1:9" ht="16.5" customHeight="1">
      <c r="A37" s="173" t="s">
        <v>364</v>
      </c>
      <c r="B37" s="174"/>
      <c r="C37" s="174"/>
      <c r="D37" s="174"/>
      <c r="E37" s="174"/>
      <c r="F37" s="174"/>
      <c r="G37" s="174"/>
      <c r="H37" s="174"/>
      <c r="I37" s="174"/>
    </row>
    <row r="38" spans="1:16" s="3" customFormat="1" ht="16.5" customHeight="1">
      <c r="A38" s="175" t="s">
        <v>105</v>
      </c>
      <c r="B38" s="174"/>
      <c r="C38" s="174"/>
      <c r="D38" s="174"/>
      <c r="E38" s="174"/>
      <c r="F38" s="174"/>
      <c r="G38" s="174"/>
      <c r="H38" s="174"/>
      <c r="I38" s="174"/>
      <c r="J38" s="119"/>
      <c r="K38" s="119"/>
      <c r="L38" s="119"/>
      <c r="M38" s="119"/>
      <c r="N38" s="119"/>
      <c r="O38" s="119"/>
      <c r="P38" s="119"/>
    </row>
    <row r="39" spans="1:9" ht="16.5" customHeight="1">
      <c r="A39" s="144"/>
      <c r="B39" s="145"/>
      <c r="C39" s="145"/>
      <c r="D39" s="145"/>
      <c r="E39" s="145"/>
      <c r="F39" s="142"/>
      <c r="G39" s="143"/>
      <c r="H39" s="143"/>
      <c r="I39" s="143"/>
    </row>
    <row r="40" spans="1:9" ht="51" customHeight="1">
      <c r="A40" s="66" t="s">
        <v>173</v>
      </c>
      <c r="B40" s="68" t="s">
        <v>194</v>
      </c>
      <c r="C40" s="68" t="s">
        <v>212</v>
      </c>
      <c r="D40" s="69" t="s">
        <v>213</v>
      </c>
      <c r="E40" s="67" t="s">
        <v>214</v>
      </c>
      <c r="F40" s="136" t="s">
        <v>101</v>
      </c>
      <c r="G40" s="139" t="s">
        <v>102</v>
      </c>
      <c r="H40" s="137" t="s">
        <v>103</v>
      </c>
      <c r="I40" s="138" t="s">
        <v>104</v>
      </c>
    </row>
    <row r="41" spans="1:9" ht="12" customHeight="1">
      <c r="A41" s="90">
        <v>1</v>
      </c>
      <c r="B41" s="91">
        <v>2</v>
      </c>
      <c r="C41" s="91" t="s">
        <v>206</v>
      </c>
      <c r="D41" s="92">
        <v>4</v>
      </c>
      <c r="E41" s="93" t="s">
        <v>210</v>
      </c>
      <c r="F41" s="94">
        <v>6</v>
      </c>
      <c r="G41" s="140">
        <v>7</v>
      </c>
      <c r="H41" s="141">
        <v>6</v>
      </c>
      <c r="I41" s="140">
        <v>9</v>
      </c>
    </row>
    <row r="42" spans="1:9" ht="15.75">
      <c r="A42" s="40" t="s">
        <v>239</v>
      </c>
      <c r="B42" s="63" t="s">
        <v>195</v>
      </c>
      <c r="C42" s="63"/>
      <c r="D42" s="64"/>
      <c r="E42" s="65"/>
      <c r="F42" s="5">
        <f>F43+F48+F57+F72+F83+F93+F99</f>
        <v>554952</v>
      </c>
      <c r="G42" s="5">
        <f>G43+G48+G57+G72+G83+G93+G99</f>
        <v>517150</v>
      </c>
      <c r="H42" s="5">
        <f>H43+H48+H57+H72+H83+H93+H99</f>
        <v>490094</v>
      </c>
      <c r="I42" s="154">
        <f>H42/G42*100</f>
        <v>94.76824905733346</v>
      </c>
    </row>
    <row r="43" spans="1:9" ht="31.5">
      <c r="A43" s="27" t="s">
        <v>422</v>
      </c>
      <c r="B43" s="28" t="s">
        <v>195</v>
      </c>
      <c r="C43" s="28" t="s">
        <v>196</v>
      </c>
      <c r="D43" s="29"/>
      <c r="E43" s="30"/>
      <c r="F43" s="7">
        <f>F45</f>
        <v>2302</v>
      </c>
      <c r="G43" s="7">
        <f>G45</f>
        <v>2302</v>
      </c>
      <c r="H43" s="7">
        <f>H45</f>
        <v>2298</v>
      </c>
      <c r="I43" s="154">
        <f aca="true" t="shared" si="0" ref="I43:I106">H43/G43*100</f>
        <v>99.8262380538662</v>
      </c>
    </row>
    <row r="44" spans="1:9" ht="47.25">
      <c r="A44" s="9" t="s">
        <v>240</v>
      </c>
      <c r="B44" s="21" t="s">
        <v>195</v>
      </c>
      <c r="C44" s="21" t="s">
        <v>196</v>
      </c>
      <c r="D44" s="21" t="s">
        <v>241</v>
      </c>
      <c r="E44" s="31"/>
      <c r="F44" s="4">
        <f aca="true" t="shared" si="1" ref="F44:H45">F45</f>
        <v>2302</v>
      </c>
      <c r="G44" s="4">
        <f t="shared" si="1"/>
        <v>2302</v>
      </c>
      <c r="H44" s="4">
        <f t="shared" si="1"/>
        <v>2298</v>
      </c>
      <c r="I44" s="152">
        <f t="shared" si="0"/>
        <v>99.8262380538662</v>
      </c>
    </row>
    <row r="45" spans="1:9" ht="15.75">
      <c r="A45" s="32" t="s">
        <v>227</v>
      </c>
      <c r="B45" s="21" t="s">
        <v>195</v>
      </c>
      <c r="C45" s="21" t="s">
        <v>196</v>
      </c>
      <c r="D45" s="21" t="s">
        <v>242</v>
      </c>
      <c r="E45" s="22"/>
      <c r="F45" s="4">
        <f t="shared" si="1"/>
        <v>2302</v>
      </c>
      <c r="G45" s="4">
        <f t="shared" si="1"/>
        <v>2302</v>
      </c>
      <c r="H45" s="4">
        <f t="shared" si="1"/>
        <v>2298</v>
      </c>
      <c r="I45" s="152">
        <f t="shared" si="0"/>
        <v>99.8262380538662</v>
      </c>
    </row>
    <row r="46" spans="1:9" ht="15.75">
      <c r="A46" s="32" t="s">
        <v>243</v>
      </c>
      <c r="B46" s="21" t="s">
        <v>195</v>
      </c>
      <c r="C46" s="21" t="s">
        <v>196</v>
      </c>
      <c r="D46" s="21" t="s">
        <v>242</v>
      </c>
      <c r="E46" s="22" t="s">
        <v>244</v>
      </c>
      <c r="F46" s="4">
        <f>2302</f>
        <v>2302</v>
      </c>
      <c r="G46" s="4">
        <f>2302</f>
        <v>2302</v>
      </c>
      <c r="H46" s="4">
        <v>2298</v>
      </c>
      <c r="I46" s="152">
        <f t="shared" si="0"/>
        <v>99.8262380538662</v>
      </c>
    </row>
    <row r="47" spans="1:9" ht="12" customHeight="1">
      <c r="A47" s="32"/>
      <c r="B47" s="21"/>
      <c r="C47" s="21"/>
      <c r="D47" s="21"/>
      <c r="E47" s="22"/>
      <c r="F47" s="13"/>
      <c r="G47" s="13"/>
      <c r="H47" s="13"/>
      <c r="I47" s="152"/>
    </row>
    <row r="48" spans="1:9" ht="47.25">
      <c r="A48" s="33" t="s">
        <v>245</v>
      </c>
      <c r="B48" s="28" t="s">
        <v>195</v>
      </c>
      <c r="C48" s="28" t="s">
        <v>197</v>
      </c>
      <c r="D48" s="28"/>
      <c r="E48" s="30"/>
      <c r="F48" s="7">
        <f>F49</f>
        <v>27951</v>
      </c>
      <c r="G48" s="7">
        <f>G49</f>
        <v>27951</v>
      </c>
      <c r="H48" s="7">
        <f>H49</f>
        <v>25198</v>
      </c>
      <c r="I48" s="154">
        <f t="shared" si="0"/>
        <v>90.15062072913312</v>
      </c>
    </row>
    <row r="49" spans="1:9" ht="47.25">
      <c r="A49" s="9" t="s">
        <v>246</v>
      </c>
      <c r="B49" s="21" t="s">
        <v>195</v>
      </c>
      <c r="C49" s="21" t="s">
        <v>197</v>
      </c>
      <c r="D49" s="21" t="s">
        <v>241</v>
      </c>
      <c r="E49" s="22"/>
      <c r="F49" s="4">
        <f>F50+F52+F54</f>
        <v>27951</v>
      </c>
      <c r="G49" s="4">
        <f>G50+G52+G54</f>
        <v>27951</v>
      </c>
      <c r="H49" s="4">
        <f>H50+H52+H54</f>
        <v>25198</v>
      </c>
      <c r="I49" s="152">
        <f t="shared" si="0"/>
        <v>90.15062072913312</v>
      </c>
    </row>
    <row r="50" spans="1:9" ht="15.75">
      <c r="A50" s="12" t="s">
        <v>181</v>
      </c>
      <c r="B50" s="21" t="s">
        <v>195</v>
      </c>
      <c r="C50" s="21" t="s">
        <v>197</v>
      </c>
      <c r="D50" s="21" t="s">
        <v>247</v>
      </c>
      <c r="E50" s="22"/>
      <c r="F50" s="4">
        <f>F51</f>
        <v>23462</v>
      </c>
      <c r="G50" s="4">
        <f>G51</f>
        <v>23462</v>
      </c>
      <c r="H50" s="4">
        <f>H51</f>
        <v>22760</v>
      </c>
      <c r="I50" s="152">
        <f t="shared" si="0"/>
        <v>97.00792771289744</v>
      </c>
    </row>
    <row r="51" spans="1:9" ht="15.75">
      <c r="A51" s="32" t="s">
        <v>243</v>
      </c>
      <c r="B51" s="34" t="s">
        <v>195</v>
      </c>
      <c r="C51" s="34" t="s">
        <v>197</v>
      </c>
      <c r="D51" s="34" t="s">
        <v>247</v>
      </c>
      <c r="E51" s="25" t="s">
        <v>244</v>
      </c>
      <c r="F51" s="6">
        <f>23462</f>
        <v>23462</v>
      </c>
      <c r="G51" s="6">
        <f>23462</f>
        <v>23462</v>
      </c>
      <c r="H51" s="6">
        <v>22760</v>
      </c>
      <c r="I51" s="152">
        <f t="shared" si="0"/>
        <v>97.00792771289744</v>
      </c>
    </row>
    <row r="52" spans="1:9" ht="16.5" customHeight="1">
      <c r="A52" s="32" t="s">
        <v>228</v>
      </c>
      <c r="B52" s="21" t="s">
        <v>195</v>
      </c>
      <c r="C52" s="21" t="s">
        <v>197</v>
      </c>
      <c r="D52" s="21" t="s">
        <v>248</v>
      </c>
      <c r="E52" s="22"/>
      <c r="F52" s="4">
        <f>F53</f>
        <v>2302</v>
      </c>
      <c r="G52" s="4">
        <f>G53</f>
        <v>2302</v>
      </c>
      <c r="H52" s="4">
        <f>H53</f>
        <v>2286</v>
      </c>
      <c r="I52" s="152">
        <f t="shared" si="0"/>
        <v>99.30495221546481</v>
      </c>
    </row>
    <row r="53" spans="1:9" ht="15.75">
      <c r="A53" s="32" t="s">
        <v>243</v>
      </c>
      <c r="B53" s="21" t="s">
        <v>195</v>
      </c>
      <c r="C53" s="21" t="s">
        <v>197</v>
      </c>
      <c r="D53" s="21" t="s">
        <v>248</v>
      </c>
      <c r="E53" s="22" t="s">
        <v>244</v>
      </c>
      <c r="F53" s="4">
        <f>2302</f>
        <v>2302</v>
      </c>
      <c r="G53" s="4">
        <f>2302</f>
        <v>2302</v>
      </c>
      <c r="H53" s="4">
        <v>2286</v>
      </c>
      <c r="I53" s="152">
        <f t="shared" si="0"/>
        <v>99.30495221546481</v>
      </c>
    </row>
    <row r="54" spans="1:9" ht="15.75">
      <c r="A54" s="32" t="s">
        <v>229</v>
      </c>
      <c r="B54" s="21" t="s">
        <v>195</v>
      </c>
      <c r="C54" s="21" t="s">
        <v>197</v>
      </c>
      <c r="D54" s="21" t="s">
        <v>249</v>
      </c>
      <c r="E54" s="22"/>
      <c r="F54" s="4">
        <f>F55</f>
        <v>2187</v>
      </c>
      <c r="G54" s="4">
        <f>G55</f>
        <v>2187</v>
      </c>
      <c r="H54" s="4">
        <f>H55</f>
        <v>152</v>
      </c>
      <c r="I54" s="152">
        <f t="shared" si="0"/>
        <v>6.95016003657979</v>
      </c>
    </row>
    <row r="55" spans="1:9" ht="15.75">
      <c r="A55" s="32" t="s">
        <v>243</v>
      </c>
      <c r="B55" s="21" t="s">
        <v>195</v>
      </c>
      <c r="C55" s="21" t="s">
        <v>197</v>
      </c>
      <c r="D55" s="21" t="s">
        <v>249</v>
      </c>
      <c r="E55" s="22" t="s">
        <v>244</v>
      </c>
      <c r="F55" s="4">
        <f>4387-2200</f>
        <v>2187</v>
      </c>
      <c r="G55" s="4">
        <f>4387-2200</f>
        <v>2187</v>
      </c>
      <c r="H55" s="4">
        <v>152</v>
      </c>
      <c r="I55" s="152">
        <f t="shared" si="0"/>
        <v>6.95016003657979</v>
      </c>
    </row>
    <row r="56" spans="1:9" ht="12" customHeight="1">
      <c r="A56" s="12"/>
      <c r="B56" s="21"/>
      <c r="C56" s="21"/>
      <c r="D56" s="21"/>
      <c r="E56" s="22"/>
      <c r="F56" s="13"/>
      <c r="G56" s="13"/>
      <c r="H56" s="13"/>
      <c r="I56" s="152"/>
    </row>
    <row r="57" spans="1:9" ht="47.25">
      <c r="A57" s="27" t="s">
        <v>406</v>
      </c>
      <c r="B57" s="28" t="s">
        <v>195</v>
      </c>
      <c r="C57" s="28" t="s">
        <v>198</v>
      </c>
      <c r="D57" s="35"/>
      <c r="E57" s="36"/>
      <c r="F57" s="7">
        <f>F58+F61</f>
        <v>224880</v>
      </c>
      <c r="G57" s="7">
        <f>G58+G61</f>
        <v>224880</v>
      </c>
      <c r="H57" s="7">
        <f>H58+H61</f>
        <v>223520</v>
      </c>
      <c r="I57" s="154">
        <f t="shared" si="0"/>
        <v>99.39523301316258</v>
      </c>
    </row>
    <row r="58" spans="1:9" ht="47.25">
      <c r="A58" s="9" t="s">
        <v>246</v>
      </c>
      <c r="B58" s="21" t="s">
        <v>195</v>
      </c>
      <c r="C58" s="21" t="s">
        <v>198</v>
      </c>
      <c r="D58" s="21" t="s">
        <v>241</v>
      </c>
      <c r="E58" s="22"/>
      <c r="F58" s="4">
        <f aca="true" t="shared" si="2" ref="F58:H59">F59</f>
        <v>212509</v>
      </c>
      <c r="G58" s="4">
        <f t="shared" si="2"/>
        <v>212509</v>
      </c>
      <c r="H58" s="4">
        <f t="shared" si="2"/>
        <v>211671</v>
      </c>
      <c r="I58" s="152">
        <f t="shared" si="0"/>
        <v>99.6056637601231</v>
      </c>
    </row>
    <row r="59" spans="1:9" ht="15.75">
      <c r="A59" s="12" t="s">
        <v>181</v>
      </c>
      <c r="B59" s="21" t="s">
        <v>195</v>
      </c>
      <c r="C59" s="21" t="s">
        <v>198</v>
      </c>
      <c r="D59" s="21" t="s">
        <v>247</v>
      </c>
      <c r="E59" s="22"/>
      <c r="F59" s="4">
        <f t="shared" si="2"/>
        <v>212509</v>
      </c>
      <c r="G59" s="4">
        <f t="shared" si="2"/>
        <v>212509</v>
      </c>
      <c r="H59" s="4">
        <f t="shared" si="2"/>
        <v>211671</v>
      </c>
      <c r="I59" s="152">
        <f t="shared" si="0"/>
        <v>99.6056637601231</v>
      </c>
    </row>
    <row r="60" spans="1:9" ht="15.75">
      <c r="A60" s="32" t="s">
        <v>243</v>
      </c>
      <c r="B60" s="21" t="s">
        <v>195</v>
      </c>
      <c r="C60" s="21" t="s">
        <v>198</v>
      </c>
      <c r="D60" s="21" t="s">
        <v>247</v>
      </c>
      <c r="E60" s="22" t="s">
        <v>244</v>
      </c>
      <c r="F60" s="4">
        <f>196234+1584+12600+2091</f>
        <v>212509</v>
      </c>
      <c r="G60" s="4">
        <v>212509</v>
      </c>
      <c r="H60" s="4">
        <v>211671</v>
      </c>
      <c r="I60" s="152">
        <f t="shared" si="0"/>
        <v>99.6056637601231</v>
      </c>
    </row>
    <row r="61" spans="1:9" ht="15.75">
      <c r="A61" s="37" t="s">
        <v>250</v>
      </c>
      <c r="B61" s="17" t="s">
        <v>195</v>
      </c>
      <c r="C61" s="17" t="s">
        <v>198</v>
      </c>
      <c r="D61" s="17" t="s">
        <v>424</v>
      </c>
      <c r="E61" s="19"/>
      <c r="F61" s="24">
        <f>F62</f>
        <v>12371</v>
      </c>
      <c r="G61" s="24">
        <f>G62</f>
        <v>12371</v>
      </c>
      <c r="H61" s="24">
        <f>H62</f>
        <v>11849</v>
      </c>
      <c r="I61" s="152">
        <f t="shared" si="0"/>
        <v>95.78045428825479</v>
      </c>
    </row>
    <row r="62" spans="1:9" ht="63">
      <c r="A62" s="37" t="s">
        <v>468</v>
      </c>
      <c r="B62" s="17" t="s">
        <v>195</v>
      </c>
      <c r="C62" s="17" t="s">
        <v>198</v>
      </c>
      <c r="D62" s="17" t="s">
        <v>469</v>
      </c>
      <c r="E62" s="19"/>
      <c r="F62" s="24">
        <f>F63+F65+F67+F69</f>
        <v>12371</v>
      </c>
      <c r="G62" s="24">
        <f>G63+G65+G67+G69</f>
        <v>12371</v>
      </c>
      <c r="H62" s="24">
        <f>H63+H65+H67+H69</f>
        <v>11849</v>
      </c>
      <c r="I62" s="152">
        <f t="shared" si="0"/>
        <v>95.78045428825479</v>
      </c>
    </row>
    <row r="63" spans="1:9" ht="15.75">
      <c r="A63" s="37" t="s">
        <v>470</v>
      </c>
      <c r="B63" s="17" t="s">
        <v>195</v>
      </c>
      <c r="C63" s="17" t="s">
        <v>198</v>
      </c>
      <c r="D63" s="17" t="s">
        <v>471</v>
      </c>
      <c r="E63" s="19"/>
      <c r="F63" s="24">
        <f>F64</f>
        <v>941</v>
      </c>
      <c r="G63" s="24">
        <f>G64</f>
        <v>941</v>
      </c>
      <c r="H63" s="24">
        <f>H64</f>
        <v>939</v>
      </c>
      <c r="I63" s="152">
        <f t="shared" si="0"/>
        <v>99.7874601487779</v>
      </c>
    </row>
    <row r="64" spans="1:9" ht="15.75">
      <c r="A64" s="37" t="s">
        <v>243</v>
      </c>
      <c r="B64" s="17" t="s">
        <v>195</v>
      </c>
      <c r="C64" s="17" t="s">
        <v>198</v>
      </c>
      <c r="D64" s="17" t="s">
        <v>471</v>
      </c>
      <c r="E64" s="19" t="s">
        <v>244</v>
      </c>
      <c r="F64" s="24">
        <f>941</f>
        <v>941</v>
      </c>
      <c r="G64" s="24">
        <f>941</f>
        <v>941</v>
      </c>
      <c r="H64" s="24">
        <v>939</v>
      </c>
      <c r="I64" s="152">
        <f t="shared" si="0"/>
        <v>99.7874601487779</v>
      </c>
    </row>
    <row r="65" spans="1:9" ht="47.25">
      <c r="A65" s="37" t="s">
        <v>472</v>
      </c>
      <c r="B65" s="17" t="s">
        <v>195</v>
      </c>
      <c r="C65" s="17" t="s">
        <v>198</v>
      </c>
      <c r="D65" s="17" t="s">
        <v>473</v>
      </c>
      <c r="E65" s="19"/>
      <c r="F65" s="24">
        <f>F66</f>
        <v>7053</v>
      </c>
      <c r="G65" s="24">
        <f>G66</f>
        <v>7053</v>
      </c>
      <c r="H65" s="24">
        <f>H66</f>
        <v>7053</v>
      </c>
      <c r="I65" s="152">
        <f t="shared" si="0"/>
        <v>100</v>
      </c>
    </row>
    <row r="66" spans="1:9" ht="15.75">
      <c r="A66" s="37" t="s">
        <v>243</v>
      </c>
      <c r="B66" s="17" t="s">
        <v>195</v>
      </c>
      <c r="C66" s="17" t="s">
        <v>198</v>
      </c>
      <c r="D66" s="17" t="s">
        <v>473</v>
      </c>
      <c r="E66" s="19" t="s">
        <v>244</v>
      </c>
      <c r="F66" s="24">
        <f>7053</f>
        <v>7053</v>
      </c>
      <c r="G66" s="24">
        <f>7053</f>
        <v>7053</v>
      </c>
      <c r="H66" s="24">
        <f>7053</f>
        <v>7053</v>
      </c>
      <c r="I66" s="152">
        <f t="shared" si="0"/>
        <v>100</v>
      </c>
    </row>
    <row r="67" spans="1:9" ht="31.5">
      <c r="A67" s="37" t="s">
        <v>619</v>
      </c>
      <c r="B67" s="17" t="s">
        <v>195</v>
      </c>
      <c r="C67" s="17" t="s">
        <v>198</v>
      </c>
      <c r="D67" s="17" t="s">
        <v>474</v>
      </c>
      <c r="E67" s="19"/>
      <c r="F67" s="24">
        <f>F68</f>
        <v>4362</v>
      </c>
      <c r="G67" s="24">
        <f>G68</f>
        <v>4362</v>
      </c>
      <c r="H67" s="24">
        <f>H68</f>
        <v>3842</v>
      </c>
      <c r="I67" s="152">
        <f t="shared" si="0"/>
        <v>88.07886290692343</v>
      </c>
    </row>
    <row r="68" spans="1:9" ht="15.75">
      <c r="A68" s="37" t="s">
        <v>243</v>
      </c>
      <c r="B68" s="17" t="s">
        <v>195</v>
      </c>
      <c r="C68" s="17" t="s">
        <v>198</v>
      </c>
      <c r="D68" s="17" t="s">
        <v>474</v>
      </c>
      <c r="E68" s="19" t="s">
        <v>244</v>
      </c>
      <c r="F68" s="24">
        <f>4362</f>
        <v>4362</v>
      </c>
      <c r="G68" s="24">
        <f>4362</f>
        <v>4362</v>
      </c>
      <c r="H68" s="24">
        <v>3842</v>
      </c>
      <c r="I68" s="152">
        <f t="shared" si="0"/>
        <v>88.07886290692343</v>
      </c>
    </row>
    <row r="69" spans="1:9" ht="63">
      <c r="A69" s="106" t="s">
        <v>620</v>
      </c>
      <c r="B69" s="17" t="s">
        <v>195</v>
      </c>
      <c r="C69" s="17" t="s">
        <v>198</v>
      </c>
      <c r="D69" s="17" t="s">
        <v>475</v>
      </c>
      <c r="E69" s="19"/>
      <c r="F69" s="24">
        <f>F70</f>
        <v>15</v>
      </c>
      <c r="G69" s="24">
        <f>G70</f>
        <v>15</v>
      </c>
      <c r="H69" s="24">
        <f>H70</f>
        <v>15</v>
      </c>
      <c r="I69" s="152">
        <f t="shared" si="0"/>
        <v>100</v>
      </c>
    </row>
    <row r="70" spans="1:9" ht="15.75">
      <c r="A70" s="37" t="s">
        <v>243</v>
      </c>
      <c r="B70" s="17" t="s">
        <v>195</v>
      </c>
      <c r="C70" s="17" t="s">
        <v>198</v>
      </c>
      <c r="D70" s="17" t="s">
        <v>475</v>
      </c>
      <c r="E70" s="19" t="s">
        <v>244</v>
      </c>
      <c r="F70" s="24">
        <f>15</f>
        <v>15</v>
      </c>
      <c r="G70" s="24">
        <f>15</f>
        <v>15</v>
      </c>
      <c r="H70" s="24">
        <f>15</f>
        <v>15</v>
      </c>
      <c r="I70" s="152">
        <f t="shared" si="0"/>
        <v>100</v>
      </c>
    </row>
    <row r="71" spans="1:9" ht="12" customHeight="1">
      <c r="A71" s="12"/>
      <c r="B71" s="21"/>
      <c r="C71" s="21"/>
      <c r="D71" s="21"/>
      <c r="E71" s="22"/>
      <c r="F71" s="13"/>
      <c r="G71" s="13"/>
      <c r="H71" s="13"/>
      <c r="I71" s="152"/>
    </row>
    <row r="72" spans="1:9" ht="32.25" customHeight="1">
      <c r="A72" s="27" t="s">
        <v>423</v>
      </c>
      <c r="B72" s="28" t="s">
        <v>195</v>
      </c>
      <c r="C72" s="28" t="s">
        <v>199</v>
      </c>
      <c r="D72" s="35"/>
      <c r="E72" s="36"/>
      <c r="F72" s="7">
        <f>F73+F76+F78</f>
        <v>31432</v>
      </c>
      <c r="G72" s="7">
        <f>G73+G76+G78</f>
        <v>31437</v>
      </c>
      <c r="H72" s="7">
        <f>H73+H76+H78</f>
        <v>30971</v>
      </c>
      <c r="I72" s="154">
        <f t="shared" si="0"/>
        <v>98.51767026115724</v>
      </c>
    </row>
    <row r="73" spans="1:9" ht="47.25">
      <c r="A73" s="9" t="s">
        <v>246</v>
      </c>
      <c r="B73" s="21" t="s">
        <v>195</v>
      </c>
      <c r="C73" s="21" t="s">
        <v>199</v>
      </c>
      <c r="D73" s="21" t="s">
        <v>241</v>
      </c>
      <c r="E73" s="22"/>
      <c r="F73" s="4">
        <f aca="true" t="shared" si="3" ref="F73:H74">F74</f>
        <v>29278</v>
      </c>
      <c r="G73" s="4">
        <f t="shared" si="3"/>
        <v>29368</v>
      </c>
      <c r="H73" s="4">
        <f t="shared" si="3"/>
        <v>28973</v>
      </c>
      <c r="I73" s="152">
        <f t="shared" si="0"/>
        <v>98.6549986379733</v>
      </c>
    </row>
    <row r="74" spans="1:9" ht="15.75">
      <c r="A74" s="12" t="s">
        <v>181</v>
      </c>
      <c r="B74" s="21" t="s">
        <v>195</v>
      </c>
      <c r="C74" s="21" t="s">
        <v>199</v>
      </c>
      <c r="D74" s="21" t="s">
        <v>247</v>
      </c>
      <c r="E74" s="22"/>
      <c r="F74" s="4">
        <f t="shared" si="3"/>
        <v>29278</v>
      </c>
      <c r="G74" s="4">
        <f t="shared" si="3"/>
        <v>29368</v>
      </c>
      <c r="H74" s="4">
        <f t="shared" si="3"/>
        <v>28973</v>
      </c>
      <c r="I74" s="152">
        <f t="shared" si="0"/>
        <v>98.6549986379733</v>
      </c>
    </row>
    <row r="75" spans="1:9" ht="15.75">
      <c r="A75" s="32" t="s">
        <v>243</v>
      </c>
      <c r="B75" s="21" t="s">
        <v>195</v>
      </c>
      <c r="C75" s="21" t="s">
        <v>199</v>
      </c>
      <c r="D75" s="21" t="s">
        <v>247</v>
      </c>
      <c r="E75" s="22" t="s">
        <v>244</v>
      </c>
      <c r="F75" s="4">
        <f>27744+2394+1560-2420</f>
        <v>29278</v>
      </c>
      <c r="G75" s="4">
        <v>29368</v>
      </c>
      <c r="H75" s="4">
        <v>28973</v>
      </c>
      <c r="I75" s="152">
        <f t="shared" si="0"/>
        <v>98.6549986379733</v>
      </c>
    </row>
    <row r="76" spans="1:9" ht="31.5">
      <c r="A76" s="32" t="s">
        <v>601</v>
      </c>
      <c r="B76" s="21" t="s">
        <v>195</v>
      </c>
      <c r="C76" s="21" t="s">
        <v>199</v>
      </c>
      <c r="D76" s="21" t="s">
        <v>602</v>
      </c>
      <c r="E76" s="22"/>
      <c r="F76" s="4">
        <f>F77</f>
        <v>2154</v>
      </c>
      <c r="G76" s="4">
        <f>G77</f>
        <v>2064</v>
      </c>
      <c r="H76" s="4">
        <f>H77</f>
        <v>1993</v>
      </c>
      <c r="I76" s="152">
        <f t="shared" si="0"/>
        <v>96.56007751937985</v>
      </c>
    </row>
    <row r="77" spans="1:9" ht="15.75">
      <c r="A77" s="32" t="s">
        <v>243</v>
      </c>
      <c r="B77" s="21" t="s">
        <v>195</v>
      </c>
      <c r="C77" s="21" t="s">
        <v>199</v>
      </c>
      <c r="D77" s="21" t="s">
        <v>602</v>
      </c>
      <c r="E77" s="22" t="s">
        <v>244</v>
      </c>
      <c r="F77" s="4">
        <f>2154</f>
        <v>2154</v>
      </c>
      <c r="G77" s="4">
        <v>2064</v>
      </c>
      <c r="H77" s="4">
        <v>1993</v>
      </c>
      <c r="I77" s="152">
        <f t="shared" si="0"/>
        <v>96.56007751937985</v>
      </c>
    </row>
    <row r="78" spans="1:9" ht="15.75">
      <c r="A78" s="15" t="s">
        <v>187</v>
      </c>
      <c r="B78" s="34" t="s">
        <v>195</v>
      </c>
      <c r="C78" s="34" t="s">
        <v>199</v>
      </c>
      <c r="D78" s="10" t="s">
        <v>256</v>
      </c>
      <c r="E78" s="25"/>
      <c r="F78" s="4">
        <f aca="true" t="shared" si="4" ref="F78:H80">F79</f>
        <v>0</v>
      </c>
      <c r="G78" s="4">
        <f t="shared" si="4"/>
        <v>5</v>
      </c>
      <c r="H78" s="4">
        <f t="shared" si="4"/>
        <v>5</v>
      </c>
      <c r="I78" s="152">
        <f t="shared" si="0"/>
        <v>100</v>
      </c>
    </row>
    <row r="79" spans="1:9" ht="15.75">
      <c r="A79" s="12" t="s">
        <v>257</v>
      </c>
      <c r="B79" s="34" t="s">
        <v>195</v>
      </c>
      <c r="C79" s="34" t="s">
        <v>199</v>
      </c>
      <c r="D79" s="10" t="s">
        <v>258</v>
      </c>
      <c r="E79" s="25"/>
      <c r="F79" s="4">
        <f t="shared" si="4"/>
        <v>0</v>
      </c>
      <c r="G79" s="4">
        <f t="shared" si="4"/>
        <v>5</v>
      </c>
      <c r="H79" s="4">
        <f t="shared" si="4"/>
        <v>5</v>
      </c>
      <c r="I79" s="152">
        <f t="shared" si="0"/>
        <v>100</v>
      </c>
    </row>
    <row r="80" spans="1:9" ht="15.75">
      <c r="A80" s="32" t="s">
        <v>434</v>
      </c>
      <c r="B80" s="34" t="s">
        <v>195</v>
      </c>
      <c r="C80" s="34" t="s">
        <v>199</v>
      </c>
      <c r="D80" s="10" t="s">
        <v>259</v>
      </c>
      <c r="E80" s="25"/>
      <c r="F80" s="4">
        <f t="shared" si="4"/>
        <v>0</v>
      </c>
      <c r="G80" s="4">
        <f t="shared" si="4"/>
        <v>5</v>
      </c>
      <c r="H80" s="4">
        <f t="shared" si="4"/>
        <v>5</v>
      </c>
      <c r="I80" s="152">
        <f t="shared" si="0"/>
        <v>100</v>
      </c>
    </row>
    <row r="81" spans="1:9" ht="15.75">
      <c r="A81" s="32" t="s">
        <v>243</v>
      </c>
      <c r="B81" s="34" t="s">
        <v>195</v>
      </c>
      <c r="C81" s="34" t="s">
        <v>199</v>
      </c>
      <c r="D81" s="10" t="s">
        <v>259</v>
      </c>
      <c r="E81" s="25" t="s">
        <v>244</v>
      </c>
      <c r="F81" s="4">
        <v>0</v>
      </c>
      <c r="G81" s="4">
        <v>5</v>
      </c>
      <c r="H81" s="4">
        <v>5</v>
      </c>
      <c r="I81" s="152">
        <f t="shared" si="0"/>
        <v>100</v>
      </c>
    </row>
    <row r="82" spans="1:9" ht="12" customHeight="1">
      <c r="A82" s="32"/>
      <c r="B82" s="21"/>
      <c r="C82" s="21"/>
      <c r="D82" s="21"/>
      <c r="E82" s="22"/>
      <c r="F82" s="4"/>
      <c r="G82" s="4"/>
      <c r="H82" s="4"/>
      <c r="I82" s="152"/>
    </row>
    <row r="83" spans="1:9" ht="15.75">
      <c r="A83" s="33" t="s">
        <v>464</v>
      </c>
      <c r="B83" s="28" t="s">
        <v>195</v>
      </c>
      <c r="C83" s="28" t="s">
        <v>200</v>
      </c>
      <c r="D83" s="28"/>
      <c r="E83" s="36"/>
      <c r="F83" s="7">
        <f>F84+F89</f>
        <v>3906</v>
      </c>
      <c r="G83" s="7">
        <f>G84+G89</f>
        <v>3906</v>
      </c>
      <c r="H83" s="7">
        <f>H84+H89</f>
        <v>3547</v>
      </c>
      <c r="I83" s="154">
        <f t="shared" si="0"/>
        <v>90.8090117767537</v>
      </c>
    </row>
    <row r="84" spans="1:9" ht="47.25">
      <c r="A84" s="9" t="s">
        <v>246</v>
      </c>
      <c r="B84" s="34" t="s">
        <v>195</v>
      </c>
      <c r="C84" s="34" t="s">
        <v>200</v>
      </c>
      <c r="D84" s="34" t="s">
        <v>241</v>
      </c>
      <c r="E84" s="25"/>
      <c r="F84" s="6">
        <f>F85+F87</f>
        <v>2606</v>
      </c>
      <c r="G84" s="6">
        <f>G85+G87</f>
        <v>2606</v>
      </c>
      <c r="H84" s="6">
        <f>H85+H87</f>
        <v>2248</v>
      </c>
      <c r="I84" s="152">
        <f t="shared" si="0"/>
        <v>86.26247122026093</v>
      </c>
    </row>
    <row r="85" spans="1:9" ht="15.75">
      <c r="A85" s="32" t="s">
        <v>181</v>
      </c>
      <c r="B85" s="21" t="s">
        <v>195</v>
      </c>
      <c r="C85" s="21" t="s">
        <v>200</v>
      </c>
      <c r="D85" s="21" t="s">
        <v>247</v>
      </c>
      <c r="E85" s="22"/>
      <c r="F85" s="4">
        <f>F86</f>
        <v>1416</v>
      </c>
      <c r="G85" s="4">
        <f>G86</f>
        <v>1416</v>
      </c>
      <c r="H85" s="4">
        <f>H86</f>
        <v>1359</v>
      </c>
      <c r="I85" s="152">
        <f t="shared" si="0"/>
        <v>95.97457627118644</v>
      </c>
    </row>
    <row r="86" spans="1:9" ht="15.75">
      <c r="A86" s="32" t="s">
        <v>243</v>
      </c>
      <c r="B86" s="21" t="s">
        <v>195</v>
      </c>
      <c r="C86" s="21" t="s">
        <v>200</v>
      </c>
      <c r="D86" s="21" t="s">
        <v>247</v>
      </c>
      <c r="E86" s="22" t="s">
        <v>244</v>
      </c>
      <c r="F86" s="4">
        <f>1416</f>
        <v>1416</v>
      </c>
      <c r="G86" s="4">
        <f>1416</f>
        <v>1416</v>
      </c>
      <c r="H86" s="4">
        <v>1359</v>
      </c>
      <c r="I86" s="152">
        <f t="shared" si="0"/>
        <v>95.97457627118644</v>
      </c>
    </row>
    <row r="87" spans="1:9" ht="15.75">
      <c r="A87" s="32" t="s">
        <v>502</v>
      </c>
      <c r="B87" s="21" t="s">
        <v>195</v>
      </c>
      <c r="C87" s="21" t="s">
        <v>200</v>
      </c>
      <c r="D87" s="21" t="s">
        <v>503</v>
      </c>
      <c r="E87" s="22"/>
      <c r="F87" s="4">
        <f>F88</f>
        <v>1190</v>
      </c>
      <c r="G87" s="4">
        <f>G88</f>
        <v>1190</v>
      </c>
      <c r="H87" s="4">
        <f>H88</f>
        <v>889</v>
      </c>
      <c r="I87" s="152">
        <f t="shared" si="0"/>
        <v>74.70588235294117</v>
      </c>
    </row>
    <row r="88" spans="1:9" ht="15.75">
      <c r="A88" s="32" t="s">
        <v>243</v>
      </c>
      <c r="B88" s="21" t="s">
        <v>195</v>
      </c>
      <c r="C88" s="21" t="s">
        <v>200</v>
      </c>
      <c r="D88" s="21" t="s">
        <v>503</v>
      </c>
      <c r="E88" s="22" t="s">
        <v>244</v>
      </c>
      <c r="F88" s="4">
        <f>1190</f>
        <v>1190</v>
      </c>
      <c r="G88" s="4">
        <f>1190</f>
        <v>1190</v>
      </c>
      <c r="H88" s="4">
        <v>889</v>
      </c>
      <c r="I88" s="152">
        <f t="shared" si="0"/>
        <v>74.70588235294117</v>
      </c>
    </row>
    <row r="89" spans="1:9" ht="16.5" customHeight="1">
      <c r="A89" s="107" t="s">
        <v>621</v>
      </c>
      <c r="B89" s="108" t="s">
        <v>195</v>
      </c>
      <c r="C89" s="108" t="s">
        <v>200</v>
      </c>
      <c r="D89" s="109" t="s">
        <v>623</v>
      </c>
      <c r="E89" s="110"/>
      <c r="F89" s="103">
        <f aca="true" t="shared" si="5" ref="F89:H90">F90</f>
        <v>1300</v>
      </c>
      <c r="G89" s="103">
        <f t="shared" si="5"/>
        <v>1300</v>
      </c>
      <c r="H89" s="103">
        <f t="shared" si="5"/>
        <v>1299</v>
      </c>
      <c r="I89" s="152">
        <f t="shared" si="0"/>
        <v>99.92307692307692</v>
      </c>
    </row>
    <row r="90" spans="1:9" ht="31.5">
      <c r="A90" s="107" t="s">
        <v>622</v>
      </c>
      <c r="B90" s="108" t="s">
        <v>195</v>
      </c>
      <c r="C90" s="108" t="s">
        <v>200</v>
      </c>
      <c r="D90" s="109" t="s">
        <v>624</v>
      </c>
      <c r="E90" s="110"/>
      <c r="F90" s="103">
        <f t="shared" si="5"/>
        <v>1300</v>
      </c>
      <c r="G90" s="103">
        <f t="shared" si="5"/>
        <v>1300</v>
      </c>
      <c r="H90" s="103">
        <f t="shared" si="5"/>
        <v>1299</v>
      </c>
      <c r="I90" s="152">
        <f t="shared" si="0"/>
        <v>99.92307692307692</v>
      </c>
    </row>
    <row r="91" spans="1:9" ht="15.75">
      <c r="A91" s="32" t="s">
        <v>243</v>
      </c>
      <c r="B91" s="108" t="s">
        <v>195</v>
      </c>
      <c r="C91" s="108" t="s">
        <v>200</v>
      </c>
      <c r="D91" s="109" t="s">
        <v>624</v>
      </c>
      <c r="E91" s="110" t="s">
        <v>244</v>
      </c>
      <c r="F91" s="103">
        <f>1300</f>
        <v>1300</v>
      </c>
      <c r="G91" s="103">
        <f>1300</f>
        <v>1300</v>
      </c>
      <c r="H91" s="103">
        <v>1299</v>
      </c>
      <c r="I91" s="152">
        <f t="shared" si="0"/>
        <v>99.92307692307692</v>
      </c>
    </row>
    <row r="92" spans="1:9" ht="12" customHeight="1">
      <c r="A92" s="12"/>
      <c r="B92" s="21"/>
      <c r="C92" s="21"/>
      <c r="D92" s="21"/>
      <c r="E92" s="22"/>
      <c r="F92" s="4"/>
      <c r="G92" s="4"/>
      <c r="H92" s="4"/>
      <c r="I92" s="152"/>
    </row>
    <row r="93" spans="1:9" ht="15.75">
      <c r="A93" s="27" t="s">
        <v>187</v>
      </c>
      <c r="B93" s="28" t="s">
        <v>195</v>
      </c>
      <c r="C93" s="28" t="s">
        <v>209</v>
      </c>
      <c r="D93" s="28"/>
      <c r="E93" s="36"/>
      <c r="F93" s="7">
        <f>F95</f>
        <v>60067</v>
      </c>
      <c r="G93" s="7">
        <f>G95</f>
        <v>11248</v>
      </c>
      <c r="H93" s="7">
        <f>H95</f>
        <v>0</v>
      </c>
      <c r="I93" s="154">
        <f t="shared" si="0"/>
        <v>0</v>
      </c>
    </row>
    <row r="94" spans="1:9" ht="15.75">
      <c r="A94" s="15" t="s">
        <v>187</v>
      </c>
      <c r="B94" s="21" t="s">
        <v>195</v>
      </c>
      <c r="C94" s="21" t="s">
        <v>209</v>
      </c>
      <c r="D94" s="21" t="s">
        <v>256</v>
      </c>
      <c r="E94" s="22"/>
      <c r="F94" s="4">
        <f aca="true" t="shared" si="6" ref="F94:H96">F95</f>
        <v>60067</v>
      </c>
      <c r="G94" s="4">
        <f t="shared" si="6"/>
        <v>11248</v>
      </c>
      <c r="H94" s="4">
        <f t="shared" si="6"/>
        <v>0</v>
      </c>
      <c r="I94" s="152">
        <f t="shared" si="0"/>
        <v>0</v>
      </c>
    </row>
    <row r="95" spans="1:9" ht="15.75">
      <c r="A95" s="12" t="s">
        <v>257</v>
      </c>
      <c r="B95" s="21" t="s">
        <v>195</v>
      </c>
      <c r="C95" s="21" t="s">
        <v>209</v>
      </c>
      <c r="D95" s="21" t="s">
        <v>258</v>
      </c>
      <c r="E95" s="22"/>
      <c r="F95" s="4">
        <f t="shared" si="6"/>
        <v>60067</v>
      </c>
      <c r="G95" s="4">
        <f t="shared" si="6"/>
        <v>11248</v>
      </c>
      <c r="H95" s="4">
        <f t="shared" si="6"/>
        <v>0</v>
      </c>
      <c r="I95" s="152">
        <f t="shared" si="0"/>
        <v>0</v>
      </c>
    </row>
    <row r="96" spans="1:9" ht="15.75">
      <c r="A96" s="32" t="s">
        <v>434</v>
      </c>
      <c r="B96" s="21" t="s">
        <v>195</v>
      </c>
      <c r="C96" s="21" t="s">
        <v>209</v>
      </c>
      <c r="D96" s="21" t="s">
        <v>259</v>
      </c>
      <c r="E96" s="22"/>
      <c r="F96" s="4">
        <f t="shared" si="6"/>
        <v>60067</v>
      </c>
      <c r="G96" s="4">
        <f t="shared" si="6"/>
        <v>11248</v>
      </c>
      <c r="H96" s="4">
        <f t="shared" si="6"/>
        <v>0</v>
      </c>
      <c r="I96" s="152">
        <f t="shared" si="0"/>
        <v>0</v>
      </c>
    </row>
    <row r="97" spans="1:9" ht="15.75">
      <c r="A97" s="32" t="s">
        <v>254</v>
      </c>
      <c r="B97" s="21" t="s">
        <v>195</v>
      </c>
      <c r="C97" s="21" t="s">
        <v>209</v>
      </c>
      <c r="D97" s="21" t="s">
        <v>260</v>
      </c>
      <c r="E97" s="22" t="s">
        <v>255</v>
      </c>
      <c r="F97" s="4">
        <f>104000-15000-1200-27733</f>
        <v>60067</v>
      </c>
      <c r="G97" s="4">
        <v>11248</v>
      </c>
      <c r="H97" s="4">
        <v>0</v>
      </c>
      <c r="I97" s="152">
        <f t="shared" si="0"/>
        <v>0</v>
      </c>
    </row>
    <row r="98" spans="1:9" ht="12" customHeight="1">
      <c r="A98" s="12"/>
      <c r="B98" s="21"/>
      <c r="C98" s="21"/>
      <c r="D98" s="21"/>
      <c r="E98" s="22"/>
      <c r="F98" s="13"/>
      <c r="G98" s="13"/>
      <c r="H98" s="13"/>
      <c r="I98" s="152"/>
    </row>
    <row r="99" spans="1:9" ht="15.75">
      <c r="A99" s="27" t="s">
        <v>261</v>
      </c>
      <c r="B99" s="28" t="s">
        <v>195</v>
      </c>
      <c r="C99" s="28" t="s">
        <v>559</v>
      </c>
      <c r="D99" s="28"/>
      <c r="E99" s="36"/>
      <c r="F99" s="7">
        <f>F103+F111+F118+F126+F129+F106+F100</f>
        <v>204414</v>
      </c>
      <c r="G99" s="7">
        <f>G103+G111+G118+G126+G129+G106+G100</f>
        <v>215426</v>
      </c>
      <c r="H99" s="7">
        <f>H103+H111+H118+H126+H129+H106+H100</f>
        <v>204560</v>
      </c>
      <c r="I99" s="154">
        <f t="shared" si="0"/>
        <v>94.9560405893439</v>
      </c>
    </row>
    <row r="100" spans="1:9" ht="15.75">
      <c r="A100" s="15" t="s">
        <v>108</v>
      </c>
      <c r="B100" s="34" t="s">
        <v>195</v>
      </c>
      <c r="C100" s="34" t="s">
        <v>559</v>
      </c>
      <c r="D100" s="23" t="s">
        <v>106</v>
      </c>
      <c r="E100" s="25"/>
      <c r="F100" s="6">
        <f aca="true" t="shared" si="7" ref="F100:H101">F101</f>
        <v>0</v>
      </c>
      <c r="G100" s="6">
        <f t="shared" si="7"/>
        <v>1469</v>
      </c>
      <c r="H100" s="6">
        <f t="shared" si="7"/>
        <v>1469</v>
      </c>
      <c r="I100" s="152">
        <f t="shared" si="0"/>
        <v>100</v>
      </c>
    </row>
    <row r="101" spans="1:9" ht="31.5">
      <c r="A101" s="15" t="s">
        <v>109</v>
      </c>
      <c r="B101" s="34" t="s">
        <v>195</v>
      </c>
      <c r="C101" s="34" t="s">
        <v>559</v>
      </c>
      <c r="D101" s="23" t="s">
        <v>107</v>
      </c>
      <c r="E101" s="25"/>
      <c r="F101" s="6">
        <f t="shared" si="7"/>
        <v>0</v>
      </c>
      <c r="G101" s="6">
        <f t="shared" si="7"/>
        <v>1469</v>
      </c>
      <c r="H101" s="6">
        <f t="shared" si="7"/>
        <v>1469</v>
      </c>
      <c r="I101" s="152">
        <f t="shared" si="0"/>
        <v>100</v>
      </c>
    </row>
    <row r="102" spans="1:9" ht="15.75">
      <c r="A102" s="32" t="s">
        <v>243</v>
      </c>
      <c r="B102" s="34" t="s">
        <v>195</v>
      </c>
      <c r="C102" s="34" t="s">
        <v>559</v>
      </c>
      <c r="D102" s="23" t="s">
        <v>107</v>
      </c>
      <c r="E102" s="25" t="s">
        <v>244</v>
      </c>
      <c r="F102" s="6">
        <v>0</v>
      </c>
      <c r="G102" s="6">
        <v>1469</v>
      </c>
      <c r="H102" s="6">
        <v>1469</v>
      </c>
      <c r="I102" s="152">
        <f t="shared" si="0"/>
        <v>100</v>
      </c>
    </row>
    <row r="103" spans="1:9" ht="47.25">
      <c r="A103" s="9" t="s">
        <v>246</v>
      </c>
      <c r="B103" s="21" t="s">
        <v>195</v>
      </c>
      <c r="C103" s="21" t="s">
        <v>559</v>
      </c>
      <c r="D103" s="21" t="s">
        <v>241</v>
      </c>
      <c r="E103" s="22"/>
      <c r="F103" s="4">
        <f aca="true" t="shared" si="8" ref="F103:H104">F104</f>
        <v>22427</v>
      </c>
      <c r="G103" s="4">
        <f t="shared" si="8"/>
        <v>22427</v>
      </c>
      <c r="H103" s="4">
        <f t="shared" si="8"/>
        <v>22139</v>
      </c>
      <c r="I103" s="152">
        <f t="shared" si="0"/>
        <v>98.71583359343649</v>
      </c>
    </row>
    <row r="104" spans="1:9" ht="15.75">
      <c r="A104" s="12" t="s">
        <v>181</v>
      </c>
      <c r="B104" s="21" t="s">
        <v>195</v>
      </c>
      <c r="C104" s="21" t="s">
        <v>559</v>
      </c>
      <c r="D104" s="21" t="s">
        <v>247</v>
      </c>
      <c r="E104" s="22"/>
      <c r="F104" s="4">
        <f t="shared" si="8"/>
        <v>22427</v>
      </c>
      <c r="G104" s="4">
        <f t="shared" si="8"/>
        <v>22427</v>
      </c>
      <c r="H104" s="4">
        <f t="shared" si="8"/>
        <v>22139</v>
      </c>
      <c r="I104" s="152">
        <f t="shared" si="0"/>
        <v>98.71583359343649</v>
      </c>
    </row>
    <row r="105" spans="1:9" ht="15.75">
      <c r="A105" s="32" t="s">
        <v>243</v>
      </c>
      <c r="B105" s="21" t="s">
        <v>195</v>
      </c>
      <c r="C105" s="21" t="s">
        <v>559</v>
      </c>
      <c r="D105" s="21" t="s">
        <v>247</v>
      </c>
      <c r="E105" s="22" t="s">
        <v>244</v>
      </c>
      <c r="F105" s="4">
        <f>21385+1350-308</f>
        <v>22427</v>
      </c>
      <c r="G105" s="4">
        <f>21385+1350-308</f>
        <v>22427</v>
      </c>
      <c r="H105" s="4">
        <v>22139</v>
      </c>
      <c r="I105" s="152">
        <f t="shared" si="0"/>
        <v>98.71583359343649</v>
      </c>
    </row>
    <row r="106" spans="1:9" ht="15.75">
      <c r="A106" s="15" t="s">
        <v>187</v>
      </c>
      <c r="B106" s="21" t="s">
        <v>195</v>
      </c>
      <c r="C106" s="21" t="s">
        <v>559</v>
      </c>
      <c r="D106" s="21" t="s">
        <v>256</v>
      </c>
      <c r="E106" s="22"/>
      <c r="F106" s="4">
        <f aca="true" t="shared" si="9" ref="F106:H107">F107</f>
        <v>0</v>
      </c>
      <c r="G106" s="4">
        <f t="shared" si="9"/>
        <v>616</v>
      </c>
      <c r="H106" s="4">
        <f t="shared" si="9"/>
        <v>410</v>
      </c>
      <c r="I106" s="152">
        <f t="shared" si="0"/>
        <v>66.55844155844156</v>
      </c>
    </row>
    <row r="107" spans="1:9" ht="15.75">
      <c r="A107" s="12" t="s">
        <v>257</v>
      </c>
      <c r="B107" s="21" t="s">
        <v>195</v>
      </c>
      <c r="C107" s="21" t="s">
        <v>559</v>
      </c>
      <c r="D107" s="21" t="s">
        <v>258</v>
      </c>
      <c r="E107" s="22"/>
      <c r="F107" s="4">
        <f t="shared" si="9"/>
        <v>0</v>
      </c>
      <c r="G107" s="4">
        <f t="shared" si="9"/>
        <v>616</v>
      </c>
      <c r="H107" s="4">
        <f t="shared" si="9"/>
        <v>410</v>
      </c>
      <c r="I107" s="152">
        <f aca="true" t="shared" si="10" ref="I107:I170">H107/G107*100</f>
        <v>66.55844155844156</v>
      </c>
    </row>
    <row r="108" spans="1:9" ht="15.75">
      <c r="A108" s="32" t="s">
        <v>434</v>
      </c>
      <c r="B108" s="21" t="s">
        <v>195</v>
      </c>
      <c r="C108" s="21" t="s">
        <v>559</v>
      </c>
      <c r="D108" s="21" t="s">
        <v>259</v>
      </c>
      <c r="E108" s="22"/>
      <c r="F108" s="4">
        <f>F109+F110</f>
        <v>0</v>
      </c>
      <c r="G108" s="4">
        <f>G109+G110</f>
        <v>616</v>
      </c>
      <c r="H108" s="4">
        <f>H109+H110</f>
        <v>410</v>
      </c>
      <c r="I108" s="152">
        <f t="shared" si="10"/>
        <v>66.55844155844156</v>
      </c>
    </row>
    <row r="109" spans="1:9" ht="15.75">
      <c r="A109" s="9" t="s">
        <v>273</v>
      </c>
      <c r="B109" s="21" t="s">
        <v>195</v>
      </c>
      <c r="C109" s="21" t="s">
        <v>559</v>
      </c>
      <c r="D109" s="21" t="s">
        <v>260</v>
      </c>
      <c r="E109" s="19" t="s">
        <v>274</v>
      </c>
      <c r="F109" s="4">
        <v>0</v>
      </c>
      <c r="G109" s="4">
        <v>5</v>
      </c>
      <c r="H109" s="4">
        <v>5</v>
      </c>
      <c r="I109" s="152">
        <f t="shared" si="10"/>
        <v>100</v>
      </c>
    </row>
    <row r="110" spans="1:9" ht="15.75">
      <c r="A110" s="32" t="s">
        <v>243</v>
      </c>
      <c r="B110" s="21" t="s">
        <v>195</v>
      </c>
      <c r="C110" s="21" t="s">
        <v>559</v>
      </c>
      <c r="D110" s="21" t="s">
        <v>260</v>
      </c>
      <c r="E110" s="22" t="s">
        <v>244</v>
      </c>
      <c r="F110" s="4">
        <v>0</v>
      </c>
      <c r="G110" s="4">
        <v>611</v>
      </c>
      <c r="H110" s="4">
        <v>405</v>
      </c>
      <c r="I110" s="152">
        <f t="shared" si="10"/>
        <v>66.2847790507365</v>
      </c>
    </row>
    <row r="111" spans="1:9" ht="31.5">
      <c r="A111" s="15" t="s">
        <v>224</v>
      </c>
      <c r="B111" s="21" t="s">
        <v>195</v>
      </c>
      <c r="C111" s="21" t="s">
        <v>559</v>
      </c>
      <c r="D111" s="21" t="s">
        <v>263</v>
      </c>
      <c r="E111" s="22"/>
      <c r="F111" s="4">
        <f>F112+F114+F116</f>
        <v>14879</v>
      </c>
      <c r="G111" s="4">
        <f>G112+G114+G116</f>
        <v>14879</v>
      </c>
      <c r="H111" s="4">
        <f>H112+H114+H116</f>
        <v>12837</v>
      </c>
      <c r="I111" s="152">
        <f t="shared" si="10"/>
        <v>86.27595940587405</v>
      </c>
    </row>
    <row r="112" spans="1:9" ht="31.5">
      <c r="A112" s="12" t="s">
        <v>211</v>
      </c>
      <c r="B112" s="21" t="s">
        <v>195</v>
      </c>
      <c r="C112" s="21" t="s">
        <v>559</v>
      </c>
      <c r="D112" s="21" t="s">
        <v>264</v>
      </c>
      <c r="E112" s="22"/>
      <c r="F112" s="4">
        <f>F113</f>
        <v>6607</v>
      </c>
      <c r="G112" s="4">
        <f>G113</f>
        <v>6819</v>
      </c>
      <c r="H112" s="4">
        <f>H113</f>
        <v>6636</v>
      </c>
      <c r="I112" s="152">
        <f t="shared" si="10"/>
        <v>97.31632204135504</v>
      </c>
    </row>
    <row r="113" spans="1:9" ht="15.75">
      <c r="A113" s="32" t="s">
        <v>243</v>
      </c>
      <c r="B113" s="21" t="s">
        <v>195</v>
      </c>
      <c r="C113" s="21" t="s">
        <v>559</v>
      </c>
      <c r="D113" s="21" t="s">
        <v>264</v>
      </c>
      <c r="E113" s="22" t="s">
        <v>244</v>
      </c>
      <c r="F113" s="4">
        <f>6017+590</f>
        <v>6607</v>
      </c>
      <c r="G113" s="4">
        <v>6819</v>
      </c>
      <c r="H113" s="4">
        <v>6636</v>
      </c>
      <c r="I113" s="152">
        <f t="shared" si="10"/>
        <v>97.31632204135504</v>
      </c>
    </row>
    <row r="114" spans="1:9" ht="16.5" customHeight="1">
      <c r="A114" s="12" t="s">
        <v>451</v>
      </c>
      <c r="B114" s="21" t="s">
        <v>195</v>
      </c>
      <c r="C114" s="21" t="s">
        <v>559</v>
      </c>
      <c r="D114" s="21" t="s">
        <v>452</v>
      </c>
      <c r="E114" s="22"/>
      <c r="F114" s="4">
        <f>F115</f>
        <v>1025</v>
      </c>
      <c r="G114" s="4">
        <f>G115</f>
        <v>1025</v>
      </c>
      <c r="H114" s="4">
        <f>H115</f>
        <v>843</v>
      </c>
      <c r="I114" s="152">
        <f t="shared" si="10"/>
        <v>82.24390243902438</v>
      </c>
    </row>
    <row r="115" spans="1:9" ht="15.75">
      <c r="A115" s="32" t="s">
        <v>243</v>
      </c>
      <c r="B115" s="21" t="s">
        <v>195</v>
      </c>
      <c r="C115" s="21" t="s">
        <v>559</v>
      </c>
      <c r="D115" s="21" t="s">
        <v>452</v>
      </c>
      <c r="E115" s="22" t="s">
        <v>244</v>
      </c>
      <c r="F115" s="4">
        <f>615+410</f>
        <v>1025</v>
      </c>
      <c r="G115" s="4">
        <f>615+410</f>
        <v>1025</v>
      </c>
      <c r="H115" s="4">
        <v>843</v>
      </c>
      <c r="I115" s="152">
        <f t="shared" si="10"/>
        <v>82.24390243902438</v>
      </c>
    </row>
    <row r="116" spans="1:9" ht="15.75">
      <c r="A116" s="45" t="s">
        <v>498</v>
      </c>
      <c r="B116" s="21" t="s">
        <v>195</v>
      </c>
      <c r="C116" s="21" t="s">
        <v>559</v>
      </c>
      <c r="D116" s="21" t="s">
        <v>497</v>
      </c>
      <c r="E116" s="22"/>
      <c r="F116" s="4">
        <f>F117</f>
        <v>7247</v>
      </c>
      <c r="G116" s="4">
        <f>G117</f>
        <v>7035</v>
      </c>
      <c r="H116" s="4">
        <f>H117</f>
        <v>5358</v>
      </c>
      <c r="I116" s="152">
        <f t="shared" si="10"/>
        <v>76.16204690831556</v>
      </c>
    </row>
    <row r="117" spans="1:9" ht="15.75">
      <c r="A117" s="37" t="s">
        <v>243</v>
      </c>
      <c r="B117" s="21" t="s">
        <v>195</v>
      </c>
      <c r="C117" s="21" t="s">
        <v>559</v>
      </c>
      <c r="D117" s="21" t="s">
        <v>497</v>
      </c>
      <c r="E117" s="22" t="s">
        <v>244</v>
      </c>
      <c r="F117" s="4">
        <f>7247</f>
        <v>7247</v>
      </c>
      <c r="G117" s="4">
        <v>7035</v>
      </c>
      <c r="H117" s="4">
        <v>5358</v>
      </c>
      <c r="I117" s="152">
        <f t="shared" si="10"/>
        <v>76.16204690831556</v>
      </c>
    </row>
    <row r="118" spans="1:9" ht="31.5">
      <c r="A118" s="15" t="s">
        <v>215</v>
      </c>
      <c r="B118" s="21" t="s">
        <v>195</v>
      </c>
      <c r="C118" s="21" t="s">
        <v>559</v>
      </c>
      <c r="D118" s="21" t="s">
        <v>265</v>
      </c>
      <c r="E118" s="22"/>
      <c r="F118" s="4">
        <f>F119+F124</f>
        <v>28640</v>
      </c>
      <c r="G118" s="4">
        <f>G119+G124</f>
        <v>37940</v>
      </c>
      <c r="H118" s="4">
        <f>H119+H124</f>
        <v>37101</v>
      </c>
      <c r="I118" s="152">
        <f t="shared" si="10"/>
        <v>97.78861360042171</v>
      </c>
    </row>
    <row r="119" spans="1:9" ht="15.75">
      <c r="A119" s="15" t="s">
        <v>222</v>
      </c>
      <c r="B119" s="21" t="s">
        <v>195</v>
      </c>
      <c r="C119" s="21" t="s">
        <v>559</v>
      </c>
      <c r="D119" s="21" t="s">
        <v>266</v>
      </c>
      <c r="E119" s="22"/>
      <c r="F119" s="4">
        <f>F120+F122</f>
        <v>26640</v>
      </c>
      <c r="G119" s="4">
        <f>G120+G122</f>
        <v>37881</v>
      </c>
      <c r="H119" s="4">
        <f>H120+H122</f>
        <v>37101</v>
      </c>
      <c r="I119" s="152">
        <f t="shared" si="10"/>
        <v>97.94092025025738</v>
      </c>
    </row>
    <row r="120" spans="1:9" ht="15.75">
      <c r="A120" s="15" t="s">
        <v>537</v>
      </c>
      <c r="B120" s="21" t="s">
        <v>195</v>
      </c>
      <c r="C120" s="21" t="s">
        <v>559</v>
      </c>
      <c r="D120" s="21" t="s">
        <v>538</v>
      </c>
      <c r="E120" s="22"/>
      <c r="F120" s="4">
        <f>F121</f>
        <v>9140</v>
      </c>
      <c r="G120" s="4">
        <f>G121</f>
        <v>20381</v>
      </c>
      <c r="H120" s="4">
        <f>H121</f>
        <v>19637</v>
      </c>
      <c r="I120" s="152">
        <f t="shared" si="10"/>
        <v>96.34954123938962</v>
      </c>
    </row>
    <row r="121" spans="1:9" ht="15.75">
      <c r="A121" s="37" t="s">
        <v>254</v>
      </c>
      <c r="B121" s="21" t="s">
        <v>195</v>
      </c>
      <c r="C121" s="21" t="s">
        <v>559</v>
      </c>
      <c r="D121" s="21" t="s">
        <v>538</v>
      </c>
      <c r="E121" s="22" t="s">
        <v>255</v>
      </c>
      <c r="F121" s="4">
        <f>585+4415+2030+2000+110</f>
        <v>9140</v>
      </c>
      <c r="G121" s="4">
        <v>20381</v>
      </c>
      <c r="H121" s="4">
        <v>19637</v>
      </c>
      <c r="I121" s="152">
        <f t="shared" si="10"/>
        <v>96.34954123938962</v>
      </c>
    </row>
    <row r="122" spans="1:9" ht="31.5">
      <c r="A122" s="37" t="s">
        <v>430</v>
      </c>
      <c r="B122" s="17" t="s">
        <v>195</v>
      </c>
      <c r="C122" s="21" t="s">
        <v>559</v>
      </c>
      <c r="D122" s="17" t="s">
        <v>496</v>
      </c>
      <c r="E122" s="19"/>
      <c r="F122" s="24">
        <f>F123</f>
        <v>17500</v>
      </c>
      <c r="G122" s="24">
        <f>G123</f>
        <v>17500</v>
      </c>
      <c r="H122" s="24">
        <f>H123</f>
        <v>17464</v>
      </c>
      <c r="I122" s="152">
        <f t="shared" si="10"/>
        <v>99.7942857142857</v>
      </c>
    </row>
    <row r="123" spans="1:9" ht="15.75">
      <c r="A123" s="32" t="s">
        <v>243</v>
      </c>
      <c r="B123" s="17" t="s">
        <v>195</v>
      </c>
      <c r="C123" s="21" t="s">
        <v>559</v>
      </c>
      <c r="D123" s="17" t="s">
        <v>496</v>
      </c>
      <c r="E123" s="19" t="s">
        <v>244</v>
      </c>
      <c r="F123" s="24">
        <f>5000+15000-4000+1500</f>
        <v>17500</v>
      </c>
      <c r="G123" s="24">
        <f>5000+15000-4000+1500</f>
        <v>17500</v>
      </c>
      <c r="H123" s="24">
        <v>17464</v>
      </c>
      <c r="I123" s="152">
        <f t="shared" si="10"/>
        <v>99.7942857142857</v>
      </c>
    </row>
    <row r="124" spans="1:9" ht="31.5">
      <c r="A124" s="37" t="s">
        <v>267</v>
      </c>
      <c r="B124" s="17" t="s">
        <v>195</v>
      </c>
      <c r="C124" s="21" t="s">
        <v>559</v>
      </c>
      <c r="D124" s="17" t="s">
        <v>268</v>
      </c>
      <c r="E124" s="19"/>
      <c r="F124" s="4">
        <f>F125</f>
        <v>2000</v>
      </c>
      <c r="G124" s="4">
        <f>G125</f>
        <v>59</v>
      </c>
      <c r="H124" s="4">
        <f>H125</f>
        <v>0</v>
      </c>
      <c r="I124" s="152">
        <f t="shared" si="10"/>
        <v>0</v>
      </c>
    </row>
    <row r="125" spans="1:9" ht="15.75">
      <c r="A125" s="37" t="s">
        <v>269</v>
      </c>
      <c r="B125" s="17" t="s">
        <v>195</v>
      </c>
      <c r="C125" s="21" t="s">
        <v>559</v>
      </c>
      <c r="D125" s="17" t="s">
        <v>268</v>
      </c>
      <c r="E125" s="19" t="s">
        <v>270</v>
      </c>
      <c r="F125" s="4">
        <f>2000</f>
        <v>2000</v>
      </c>
      <c r="G125" s="4">
        <v>59</v>
      </c>
      <c r="H125" s="4">
        <v>0</v>
      </c>
      <c r="I125" s="152">
        <f t="shared" si="10"/>
        <v>0</v>
      </c>
    </row>
    <row r="126" spans="1:9" ht="15.75">
      <c r="A126" s="9" t="s">
        <v>231</v>
      </c>
      <c r="B126" s="21" t="s">
        <v>195</v>
      </c>
      <c r="C126" s="21" t="s">
        <v>559</v>
      </c>
      <c r="D126" s="21" t="s">
        <v>271</v>
      </c>
      <c r="E126" s="22"/>
      <c r="F126" s="4">
        <f aca="true" t="shared" si="11" ref="F126:H127">F127</f>
        <v>133620</v>
      </c>
      <c r="G126" s="4">
        <f t="shared" si="11"/>
        <v>133214</v>
      </c>
      <c r="H126" s="4">
        <f t="shared" si="11"/>
        <v>125827</v>
      </c>
      <c r="I126" s="152">
        <f t="shared" si="10"/>
        <v>94.45478703439578</v>
      </c>
    </row>
    <row r="127" spans="1:9" ht="15.75">
      <c r="A127" s="12" t="s">
        <v>176</v>
      </c>
      <c r="B127" s="21" t="s">
        <v>195</v>
      </c>
      <c r="C127" s="21" t="s">
        <v>559</v>
      </c>
      <c r="D127" s="21" t="s">
        <v>272</v>
      </c>
      <c r="E127" s="22"/>
      <c r="F127" s="4">
        <f t="shared" si="11"/>
        <v>133620</v>
      </c>
      <c r="G127" s="4">
        <f t="shared" si="11"/>
        <v>133214</v>
      </c>
      <c r="H127" s="4">
        <f t="shared" si="11"/>
        <v>125827</v>
      </c>
      <c r="I127" s="152">
        <f t="shared" si="10"/>
        <v>94.45478703439578</v>
      </c>
    </row>
    <row r="128" spans="1:9" ht="15.75">
      <c r="A128" s="9" t="s">
        <v>273</v>
      </c>
      <c r="B128" s="21" t="s">
        <v>195</v>
      </c>
      <c r="C128" s="21" t="s">
        <v>559</v>
      </c>
      <c r="D128" s="21" t="s">
        <v>272</v>
      </c>
      <c r="E128" s="22" t="s">
        <v>274</v>
      </c>
      <c r="F128" s="4">
        <f>124002+1253+895+4500+880-110+2200</f>
        <v>133620</v>
      </c>
      <c r="G128" s="4">
        <v>133214</v>
      </c>
      <c r="H128" s="4">
        <v>125827</v>
      </c>
      <c r="I128" s="152">
        <f t="shared" si="10"/>
        <v>94.45478703439578</v>
      </c>
    </row>
    <row r="129" spans="1:9" ht="15.75">
      <c r="A129" s="9" t="s">
        <v>230</v>
      </c>
      <c r="B129" s="21" t="s">
        <v>195</v>
      </c>
      <c r="C129" s="21" t="s">
        <v>559</v>
      </c>
      <c r="D129" s="21" t="s">
        <v>286</v>
      </c>
      <c r="E129" s="22"/>
      <c r="F129" s="4">
        <f>F130+F134+F132</f>
        <v>4848</v>
      </c>
      <c r="G129" s="4">
        <f>G130+G134+G132</f>
        <v>4881</v>
      </c>
      <c r="H129" s="4">
        <f>H130+H134+H132</f>
        <v>4777</v>
      </c>
      <c r="I129" s="152">
        <f t="shared" si="10"/>
        <v>97.86928908010654</v>
      </c>
    </row>
    <row r="130" spans="1:9" ht="47.25">
      <c r="A130" s="20" t="s">
        <v>584</v>
      </c>
      <c r="B130" s="17" t="s">
        <v>195</v>
      </c>
      <c r="C130" s="17" t="s">
        <v>559</v>
      </c>
      <c r="D130" s="17" t="s">
        <v>585</v>
      </c>
      <c r="E130" s="19"/>
      <c r="F130" s="24">
        <f>F131</f>
        <v>3458</v>
      </c>
      <c r="G130" s="24">
        <f>G131</f>
        <v>3458</v>
      </c>
      <c r="H130" s="24">
        <f>H131</f>
        <v>3373</v>
      </c>
      <c r="I130" s="152">
        <f t="shared" si="10"/>
        <v>97.54193175245807</v>
      </c>
    </row>
    <row r="131" spans="1:9" ht="15.75">
      <c r="A131" s="37" t="s">
        <v>243</v>
      </c>
      <c r="B131" s="17" t="s">
        <v>195</v>
      </c>
      <c r="C131" s="17" t="s">
        <v>559</v>
      </c>
      <c r="D131" s="17" t="s">
        <v>585</v>
      </c>
      <c r="E131" s="19" t="s">
        <v>244</v>
      </c>
      <c r="F131" s="24">
        <f>3000+1000-542</f>
        <v>3458</v>
      </c>
      <c r="G131" s="24">
        <f>3000+1000-542</f>
        <v>3458</v>
      </c>
      <c r="H131" s="24">
        <v>3373</v>
      </c>
      <c r="I131" s="152">
        <f t="shared" si="10"/>
        <v>97.54193175245807</v>
      </c>
    </row>
    <row r="132" spans="1:9" ht="47.25">
      <c r="A132" s="45" t="s">
        <v>3</v>
      </c>
      <c r="B132" s="17" t="s">
        <v>195</v>
      </c>
      <c r="C132" s="17" t="s">
        <v>559</v>
      </c>
      <c r="D132" s="17" t="s">
        <v>555</v>
      </c>
      <c r="E132" s="19"/>
      <c r="F132" s="24">
        <f>F133</f>
        <v>1036</v>
      </c>
      <c r="G132" s="24">
        <f>G133</f>
        <v>1036</v>
      </c>
      <c r="H132" s="24">
        <f>H133</f>
        <v>1036</v>
      </c>
      <c r="I132" s="152">
        <f t="shared" si="10"/>
        <v>100</v>
      </c>
    </row>
    <row r="133" spans="1:9" ht="15.75">
      <c r="A133" s="20" t="s">
        <v>243</v>
      </c>
      <c r="B133" s="17" t="s">
        <v>195</v>
      </c>
      <c r="C133" s="17" t="s">
        <v>559</v>
      </c>
      <c r="D133" s="17" t="s">
        <v>555</v>
      </c>
      <c r="E133" s="19" t="s">
        <v>244</v>
      </c>
      <c r="F133" s="24">
        <f>1036</f>
        <v>1036</v>
      </c>
      <c r="G133" s="24">
        <f>1036</f>
        <v>1036</v>
      </c>
      <c r="H133" s="24">
        <f>1036</f>
        <v>1036</v>
      </c>
      <c r="I133" s="152">
        <f t="shared" si="10"/>
        <v>100</v>
      </c>
    </row>
    <row r="134" spans="1:9" ht="47.25">
      <c r="A134" s="9" t="s">
        <v>586</v>
      </c>
      <c r="B134" s="21" t="s">
        <v>195</v>
      </c>
      <c r="C134" s="21" t="s">
        <v>559</v>
      </c>
      <c r="D134" s="21" t="s">
        <v>453</v>
      </c>
      <c r="E134" s="22"/>
      <c r="F134" s="4">
        <f>F135</f>
        <v>354</v>
      </c>
      <c r="G134" s="4">
        <f>G135</f>
        <v>387</v>
      </c>
      <c r="H134" s="4">
        <f>H135</f>
        <v>368</v>
      </c>
      <c r="I134" s="152">
        <f t="shared" si="10"/>
        <v>95.09043927648578</v>
      </c>
    </row>
    <row r="135" spans="1:9" ht="15.75">
      <c r="A135" s="37" t="s">
        <v>243</v>
      </c>
      <c r="B135" s="21" t="s">
        <v>195</v>
      </c>
      <c r="C135" s="21" t="s">
        <v>559</v>
      </c>
      <c r="D135" s="21" t="s">
        <v>453</v>
      </c>
      <c r="E135" s="22" t="s">
        <v>244</v>
      </c>
      <c r="F135" s="4">
        <f>708-354</f>
        <v>354</v>
      </c>
      <c r="G135" s="4">
        <v>387</v>
      </c>
      <c r="H135" s="4">
        <v>368</v>
      </c>
      <c r="I135" s="152">
        <f t="shared" si="10"/>
        <v>95.09043927648578</v>
      </c>
    </row>
    <row r="136" spans="1:9" ht="12" customHeight="1">
      <c r="A136" s="12"/>
      <c r="B136" s="38"/>
      <c r="C136" s="38"/>
      <c r="D136" s="39"/>
      <c r="E136" s="31"/>
      <c r="F136" s="13"/>
      <c r="G136" s="13"/>
      <c r="H136" s="13"/>
      <c r="I136" s="152"/>
    </row>
    <row r="137" spans="1:9" ht="16.5" customHeight="1">
      <c r="A137" s="40" t="s">
        <v>275</v>
      </c>
      <c r="B137" s="41" t="s">
        <v>197</v>
      </c>
      <c r="C137" s="42"/>
      <c r="D137" s="78"/>
      <c r="E137" s="79"/>
      <c r="F137" s="5">
        <f>F138+F160+F182</f>
        <v>197061</v>
      </c>
      <c r="G137" s="5">
        <f>G138+G160+G182</f>
        <v>195774</v>
      </c>
      <c r="H137" s="5">
        <f>H138+H160+H182</f>
        <v>193014</v>
      </c>
      <c r="I137" s="154">
        <f t="shared" si="10"/>
        <v>98.59021116184988</v>
      </c>
    </row>
    <row r="138" spans="1:9" ht="15.75">
      <c r="A138" s="43" t="s">
        <v>276</v>
      </c>
      <c r="B138" s="28" t="s">
        <v>197</v>
      </c>
      <c r="C138" s="28" t="s">
        <v>196</v>
      </c>
      <c r="D138" s="35"/>
      <c r="E138" s="36"/>
      <c r="F138" s="7">
        <f>F143+F156+F139</f>
        <v>175132</v>
      </c>
      <c r="G138" s="7">
        <f>G143+G156+G139</f>
        <v>172042</v>
      </c>
      <c r="H138" s="7">
        <f>H143+H156+H139</f>
        <v>169460</v>
      </c>
      <c r="I138" s="154">
        <f t="shared" si="10"/>
        <v>98.49920368282163</v>
      </c>
    </row>
    <row r="139" spans="1:9" ht="15.75">
      <c r="A139" s="15" t="s">
        <v>187</v>
      </c>
      <c r="B139" s="21" t="s">
        <v>197</v>
      </c>
      <c r="C139" s="34" t="s">
        <v>196</v>
      </c>
      <c r="D139" s="21" t="s">
        <v>256</v>
      </c>
      <c r="E139" s="22"/>
      <c r="F139" s="6">
        <f aca="true" t="shared" si="12" ref="F139:H141">F140</f>
        <v>0</v>
      </c>
      <c r="G139" s="6">
        <f t="shared" si="12"/>
        <v>122</v>
      </c>
      <c r="H139" s="6">
        <f t="shared" si="12"/>
        <v>122</v>
      </c>
      <c r="I139" s="152">
        <f t="shared" si="10"/>
        <v>100</v>
      </c>
    </row>
    <row r="140" spans="1:9" ht="15.75">
      <c r="A140" s="12" t="s">
        <v>257</v>
      </c>
      <c r="B140" s="21" t="s">
        <v>197</v>
      </c>
      <c r="C140" s="34" t="s">
        <v>196</v>
      </c>
      <c r="D140" s="21" t="s">
        <v>258</v>
      </c>
      <c r="E140" s="22"/>
      <c r="F140" s="6">
        <f t="shared" si="12"/>
        <v>0</v>
      </c>
      <c r="G140" s="6">
        <f t="shared" si="12"/>
        <v>122</v>
      </c>
      <c r="H140" s="6">
        <f t="shared" si="12"/>
        <v>122</v>
      </c>
      <c r="I140" s="152">
        <f t="shared" si="10"/>
        <v>100</v>
      </c>
    </row>
    <row r="141" spans="1:9" ht="15.75">
      <c r="A141" s="32" t="s">
        <v>434</v>
      </c>
      <c r="B141" s="21" t="s">
        <v>197</v>
      </c>
      <c r="C141" s="34" t="s">
        <v>196</v>
      </c>
      <c r="D141" s="21" t="s">
        <v>259</v>
      </c>
      <c r="E141" s="22"/>
      <c r="F141" s="6">
        <f t="shared" si="12"/>
        <v>0</v>
      </c>
      <c r="G141" s="6">
        <f t="shared" si="12"/>
        <v>122</v>
      </c>
      <c r="H141" s="6">
        <f t="shared" si="12"/>
        <v>122</v>
      </c>
      <c r="I141" s="152">
        <f t="shared" si="10"/>
        <v>100</v>
      </c>
    </row>
    <row r="142" spans="1:9" ht="31.5">
      <c r="A142" s="20" t="s">
        <v>280</v>
      </c>
      <c r="B142" s="21" t="s">
        <v>197</v>
      </c>
      <c r="C142" s="34" t="s">
        <v>196</v>
      </c>
      <c r="D142" s="21" t="s">
        <v>260</v>
      </c>
      <c r="E142" s="22" t="s">
        <v>278</v>
      </c>
      <c r="F142" s="6">
        <v>0</v>
      </c>
      <c r="G142" s="6">
        <v>122</v>
      </c>
      <c r="H142" s="6">
        <v>122</v>
      </c>
      <c r="I142" s="152">
        <f t="shared" si="10"/>
        <v>100</v>
      </c>
    </row>
    <row r="143" spans="1:9" ht="15.75">
      <c r="A143" s="9" t="s">
        <v>190</v>
      </c>
      <c r="B143" s="34" t="s">
        <v>197</v>
      </c>
      <c r="C143" s="34" t="s">
        <v>196</v>
      </c>
      <c r="D143" s="11" t="s">
        <v>277</v>
      </c>
      <c r="E143" s="22"/>
      <c r="F143" s="4">
        <f>F148+F150+F152+F154+F146+F144</f>
        <v>174582</v>
      </c>
      <c r="G143" s="4">
        <f>G148+G150+G152+G154+G146+G144</f>
        <v>171370</v>
      </c>
      <c r="H143" s="4">
        <f>H148+H150+H152+H154+H146+H144</f>
        <v>168788</v>
      </c>
      <c r="I143" s="152">
        <f t="shared" si="10"/>
        <v>98.49331855050477</v>
      </c>
    </row>
    <row r="144" spans="1:9" ht="63">
      <c r="A144" s="20" t="s">
        <v>476</v>
      </c>
      <c r="B144" s="23" t="s">
        <v>197</v>
      </c>
      <c r="C144" s="23" t="s">
        <v>196</v>
      </c>
      <c r="D144" s="18" t="s">
        <v>477</v>
      </c>
      <c r="E144" s="19"/>
      <c r="F144" s="24">
        <f>F145</f>
        <v>20262</v>
      </c>
      <c r="G144" s="24">
        <f>G145</f>
        <v>17050</v>
      </c>
      <c r="H144" s="24">
        <f>H145</f>
        <v>17050</v>
      </c>
      <c r="I144" s="152">
        <f t="shared" si="10"/>
        <v>100</v>
      </c>
    </row>
    <row r="145" spans="1:9" ht="31.5">
      <c r="A145" s="20" t="s">
        <v>280</v>
      </c>
      <c r="B145" s="23" t="s">
        <v>197</v>
      </c>
      <c r="C145" s="23" t="s">
        <v>196</v>
      </c>
      <c r="D145" s="18" t="s">
        <v>477</v>
      </c>
      <c r="E145" s="19" t="s">
        <v>278</v>
      </c>
      <c r="F145" s="24">
        <f>20262</f>
        <v>20262</v>
      </c>
      <c r="G145" s="24">
        <v>17050</v>
      </c>
      <c r="H145" s="24">
        <v>17050</v>
      </c>
      <c r="I145" s="152">
        <f t="shared" si="10"/>
        <v>100</v>
      </c>
    </row>
    <row r="146" spans="1:9" ht="15.75">
      <c r="A146" s="9" t="s">
        <v>465</v>
      </c>
      <c r="B146" s="34" t="s">
        <v>197</v>
      </c>
      <c r="C146" s="34" t="s">
        <v>196</v>
      </c>
      <c r="D146" s="11" t="s">
        <v>466</v>
      </c>
      <c r="E146" s="22"/>
      <c r="F146" s="4">
        <f>F147</f>
        <v>104265</v>
      </c>
      <c r="G146" s="4">
        <f>G147</f>
        <v>102565</v>
      </c>
      <c r="H146" s="4">
        <f>H147</f>
        <v>100265</v>
      </c>
      <c r="I146" s="152">
        <f t="shared" si="10"/>
        <v>97.75751962170331</v>
      </c>
    </row>
    <row r="147" spans="1:9" ht="31.5">
      <c r="A147" s="20" t="s">
        <v>280</v>
      </c>
      <c r="B147" s="34" t="s">
        <v>197</v>
      </c>
      <c r="C147" s="34" t="s">
        <v>196</v>
      </c>
      <c r="D147" s="11" t="s">
        <v>466</v>
      </c>
      <c r="E147" s="22" t="s">
        <v>278</v>
      </c>
      <c r="F147" s="4">
        <f>118905-1000-2700-10940</f>
        <v>104265</v>
      </c>
      <c r="G147" s="4">
        <v>102565</v>
      </c>
      <c r="H147" s="4">
        <v>100265</v>
      </c>
      <c r="I147" s="152">
        <f t="shared" si="10"/>
        <v>97.75751962170331</v>
      </c>
    </row>
    <row r="148" spans="1:9" ht="15.75">
      <c r="A148" s="20" t="s">
        <v>191</v>
      </c>
      <c r="B148" s="17" t="s">
        <v>197</v>
      </c>
      <c r="C148" s="17" t="s">
        <v>196</v>
      </c>
      <c r="D148" s="18" t="s">
        <v>279</v>
      </c>
      <c r="E148" s="19"/>
      <c r="F148" s="4">
        <f>F149</f>
        <v>17500</v>
      </c>
      <c r="G148" s="4">
        <f>G149</f>
        <v>17413</v>
      </c>
      <c r="H148" s="4">
        <f>H149</f>
        <v>17413</v>
      </c>
      <c r="I148" s="152">
        <f t="shared" si="10"/>
        <v>100</v>
      </c>
    </row>
    <row r="149" spans="1:9" ht="31.5">
      <c r="A149" s="20" t="s">
        <v>280</v>
      </c>
      <c r="B149" s="17" t="s">
        <v>197</v>
      </c>
      <c r="C149" s="17" t="s">
        <v>196</v>
      </c>
      <c r="D149" s="18" t="s">
        <v>279</v>
      </c>
      <c r="E149" s="19" t="s">
        <v>278</v>
      </c>
      <c r="F149" s="4">
        <f>14300+3200</f>
        <v>17500</v>
      </c>
      <c r="G149" s="4">
        <v>17413</v>
      </c>
      <c r="H149" s="4">
        <v>17413</v>
      </c>
      <c r="I149" s="152">
        <f t="shared" si="10"/>
        <v>100</v>
      </c>
    </row>
    <row r="150" spans="1:9" ht="31.5">
      <c r="A150" s="9" t="s">
        <v>281</v>
      </c>
      <c r="B150" s="21" t="s">
        <v>197</v>
      </c>
      <c r="C150" s="21" t="s">
        <v>196</v>
      </c>
      <c r="D150" s="11" t="s">
        <v>282</v>
      </c>
      <c r="E150" s="22"/>
      <c r="F150" s="4">
        <f>F151</f>
        <v>21987</v>
      </c>
      <c r="G150" s="4">
        <f>G151</f>
        <v>23982</v>
      </c>
      <c r="H150" s="4">
        <f>H151</f>
        <v>23700</v>
      </c>
      <c r="I150" s="152">
        <f t="shared" si="10"/>
        <v>98.82411808856642</v>
      </c>
    </row>
    <row r="151" spans="1:9" ht="31.5">
      <c r="A151" s="9" t="s">
        <v>280</v>
      </c>
      <c r="B151" s="21" t="s">
        <v>197</v>
      </c>
      <c r="C151" s="21" t="s">
        <v>196</v>
      </c>
      <c r="D151" s="11" t="s">
        <v>282</v>
      </c>
      <c r="E151" s="22" t="s">
        <v>278</v>
      </c>
      <c r="F151" s="4">
        <f>14987+1000+1000+5000</f>
        <v>21987</v>
      </c>
      <c r="G151" s="4">
        <v>23982</v>
      </c>
      <c r="H151" s="4">
        <v>23700</v>
      </c>
      <c r="I151" s="152">
        <f t="shared" si="10"/>
        <v>98.82411808856642</v>
      </c>
    </row>
    <row r="152" spans="1:9" ht="15.75">
      <c r="A152" s="9" t="s">
        <v>232</v>
      </c>
      <c r="B152" s="21" t="s">
        <v>197</v>
      </c>
      <c r="C152" s="21" t="s">
        <v>196</v>
      </c>
      <c r="D152" s="11" t="s">
        <v>283</v>
      </c>
      <c r="E152" s="22"/>
      <c r="F152" s="4">
        <f>F153</f>
        <v>2240</v>
      </c>
      <c r="G152" s="4">
        <f>G153</f>
        <v>2275</v>
      </c>
      <c r="H152" s="4">
        <f>H153</f>
        <v>2275</v>
      </c>
      <c r="I152" s="152">
        <f t="shared" si="10"/>
        <v>100</v>
      </c>
    </row>
    <row r="153" spans="1:9" ht="31.5">
      <c r="A153" s="9" t="s">
        <v>280</v>
      </c>
      <c r="B153" s="21" t="s">
        <v>197</v>
      </c>
      <c r="C153" s="21" t="s">
        <v>196</v>
      </c>
      <c r="D153" s="11" t="s">
        <v>283</v>
      </c>
      <c r="E153" s="22" t="s">
        <v>278</v>
      </c>
      <c r="F153" s="4">
        <f>1000+600+640</f>
        <v>2240</v>
      </c>
      <c r="G153" s="4">
        <v>2275</v>
      </c>
      <c r="H153" s="4">
        <v>2275</v>
      </c>
      <c r="I153" s="152">
        <f t="shared" si="10"/>
        <v>100</v>
      </c>
    </row>
    <row r="154" spans="1:9" ht="31.5">
      <c r="A154" s="9" t="s">
        <v>225</v>
      </c>
      <c r="B154" s="21" t="s">
        <v>197</v>
      </c>
      <c r="C154" s="21" t="s">
        <v>196</v>
      </c>
      <c r="D154" s="11" t="s">
        <v>285</v>
      </c>
      <c r="E154" s="22"/>
      <c r="F154" s="4">
        <f>F155</f>
        <v>8328</v>
      </c>
      <c r="G154" s="4">
        <f>G155</f>
        <v>8085</v>
      </c>
      <c r="H154" s="4">
        <f>H155</f>
        <v>8085</v>
      </c>
      <c r="I154" s="152">
        <f t="shared" si="10"/>
        <v>100</v>
      </c>
    </row>
    <row r="155" spans="1:9" ht="15.75">
      <c r="A155" s="9" t="s">
        <v>284</v>
      </c>
      <c r="B155" s="21" t="s">
        <v>197</v>
      </c>
      <c r="C155" s="21" t="s">
        <v>196</v>
      </c>
      <c r="D155" s="11" t="s">
        <v>285</v>
      </c>
      <c r="E155" s="22" t="s">
        <v>180</v>
      </c>
      <c r="F155" s="4">
        <f>4128+1000+1100+2100</f>
        <v>8328</v>
      </c>
      <c r="G155" s="4">
        <v>8085</v>
      </c>
      <c r="H155" s="4">
        <v>8085</v>
      </c>
      <c r="I155" s="152">
        <f t="shared" si="10"/>
        <v>100</v>
      </c>
    </row>
    <row r="156" spans="1:9" ht="15.75">
      <c r="A156" s="9" t="s">
        <v>230</v>
      </c>
      <c r="B156" s="21" t="s">
        <v>197</v>
      </c>
      <c r="C156" s="21" t="s">
        <v>196</v>
      </c>
      <c r="D156" s="11" t="s">
        <v>286</v>
      </c>
      <c r="E156" s="22"/>
      <c r="F156" s="4">
        <f aca="true" t="shared" si="13" ref="F156:H157">F157</f>
        <v>550</v>
      </c>
      <c r="G156" s="4">
        <f t="shared" si="13"/>
        <v>550</v>
      </c>
      <c r="H156" s="4">
        <f t="shared" si="13"/>
        <v>550</v>
      </c>
      <c r="I156" s="152">
        <f t="shared" si="10"/>
        <v>100</v>
      </c>
    </row>
    <row r="157" spans="1:9" ht="49.5" customHeight="1">
      <c r="A157" s="9" t="s">
        <v>552</v>
      </c>
      <c r="B157" s="21" t="s">
        <v>197</v>
      </c>
      <c r="C157" s="21" t="s">
        <v>196</v>
      </c>
      <c r="D157" s="11" t="s">
        <v>287</v>
      </c>
      <c r="E157" s="22"/>
      <c r="F157" s="4">
        <f t="shared" si="13"/>
        <v>550</v>
      </c>
      <c r="G157" s="4">
        <f t="shared" si="13"/>
        <v>550</v>
      </c>
      <c r="H157" s="4">
        <f t="shared" si="13"/>
        <v>550</v>
      </c>
      <c r="I157" s="152">
        <f t="shared" si="10"/>
        <v>100</v>
      </c>
    </row>
    <row r="158" spans="1:9" ht="31.5">
      <c r="A158" s="9" t="s">
        <v>280</v>
      </c>
      <c r="B158" s="17" t="s">
        <v>197</v>
      </c>
      <c r="C158" s="17" t="s">
        <v>196</v>
      </c>
      <c r="D158" s="18" t="s">
        <v>287</v>
      </c>
      <c r="E158" s="19" t="s">
        <v>278</v>
      </c>
      <c r="F158" s="24">
        <f>550</f>
        <v>550</v>
      </c>
      <c r="G158" s="24">
        <f>550</f>
        <v>550</v>
      </c>
      <c r="H158" s="24">
        <f>550</f>
        <v>550</v>
      </c>
      <c r="I158" s="152">
        <f t="shared" si="10"/>
        <v>100</v>
      </c>
    </row>
    <row r="159" spans="1:9" ht="12" customHeight="1">
      <c r="A159" s="9"/>
      <c r="B159" s="21"/>
      <c r="C159" s="21"/>
      <c r="D159" s="11"/>
      <c r="E159" s="22"/>
      <c r="F159" s="4"/>
      <c r="G159" s="4"/>
      <c r="H159" s="4"/>
      <c r="I159" s="152"/>
    </row>
    <row r="160" spans="1:9" ht="31.5">
      <c r="A160" s="27" t="s">
        <v>407</v>
      </c>
      <c r="B160" s="28" t="s">
        <v>197</v>
      </c>
      <c r="C160" s="28" t="s">
        <v>202</v>
      </c>
      <c r="D160" s="35"/>
      <c r="E160" s="36"/>
      <c r="F160" s="7">
        <f>F166+F178+F173+F161</f>
        <v>21629</v>
      </c>
      <c r="G160" s="7">
        <f>G166+G178+G173+G161</f>
        <v>23532</v>
      </c>
      <c r="H160" s="7">
        <f>H166+H178+H173+H161</f>
        <v>23354</v>
      </c>
      <c r="I160" s="154">
        <f t="shared" si="10"/>
        <v>99.24358320584736</v>
      </c>
    </row>
    <row r="161" spans="1:9" ht="15.75">
      <c r="A161" s="15" t="s">
        <v>187</v>
      </c>
      <c r="B161" s="21" t="s">
        <v>197</v>
      </c>
      <c r="C161" s="21" t="s">
        <v>202</v>
      </c>
      <c r="D161" s="21" t="s">
        <v>256</v>
      </c>
      <c r="E161" s="22"/>
      <c r="F161" s="6">
        <f aca="true" t="shared" si="14" ref="F161:H162">F162</f>
        <v>0</v>
      </c>
      <c r="G161" s="6">
        <f t="shared" si="14"/>
        <v>1803</v>
      </c>
      <c r="H161" s="6">
        <f t="shared" si="14"/>
        <v>1787</v>
      </c>
      <c r="I161" s="152">
        <f t="shared" si="10"/>
        <v>99.11259012756517</v>
      </c>
    </row>
    <row r="162" spans="1:9" ht="15.75">
      <c r="A162" s="12" t="s">
        <v>257</v>
      </c>
      <c r="B162" s="21" t="s">
        <v>197</v>
      </c>
      <c r="C162" s="21" t="s">
        <v>202</v>
      </c>
      <c r="D162" s="21" t="s">
        <v>258</v>
      </c>
      <c r="E162" s="22"/>
      <c r="F162" s="6">
        <f t="shared" si="14"/>
        <v>0</v>
      </c>
      <c r="G162" s="6">
        <f t="shared" si="14"/>
        <v>1803</v>
      </c>
      <c r="H162" s="6">
        <f t="shared" si="14"/>
        <v>1787</v>
      </c>
      <c r="I162" s="152">
        <f t="shared" si="10"/>
        <v>99.11259012756517</v>
      </c>
    </row>
    <row r="163" spans="1:9" ht="15.75">
      <c r="A163" s="32" t="s">
        <v>434</v>
      </c>
      <c r="B163" s="21" t="s">
        <v>197</v>
      </c>
      <c r="C163" s="21" t="s">
        <v>202</v>
      </c>
      <c r="D163" s="21" t="s">
        <v>259</v>
      </c>
      <c r="E163" s="22"/>
      <c r="F163" s="6">
        <f>F164+F165</f>
        <v>0</v>
      </c>
      <c r="G163" s="6">
        <f>G164+G165</f>
        <v>1803</v>
      </c>
      <c r="H163" s="6">
        <f>H164+H165</f>
        <v>1787</v>
      </c>
      <c r="I163" s="152">
        <f t="shared" si="10"/>
        <v>99.11259012756517</v>
      </c>
    </row>
    <row r="164" spans="1:9" ht="15.75">
      <c r="A164" s="9" t="s">
        <v>273</v>
      </c>
      <c r="B164" s="21" t="s">
        <v>197</v>
      </c>
      <c r="C164" s="21" t="s">
        <v>202</v>
      </c>
      <c r="D164" s="21" t="s">
        <v>260</v>
      </c>
      <c r="E164" s="19" t="s">
        <v>274</v>
      </c>
      <c r="F164" s="6">
        <v>0</v>
      </c>
      <c r="G164" s="6">
        <v>1220</v>
      </c>
      <c r="H164" s="6">
        <v>1204</v>
      </c>
      <c r="I164" s="152">
        <f t="shared" si="10"/>
        <v>98.68852459016394</v>
      </c>
    </row>
    <row r="165" spans="1:9" ht="15.75">
      <c r="A165" s="32" t="s">
        <v>243</v>
      </c>
      <c r="B165" s="21" t="s">
        <v>197</v>
      </c>
      <c r="C165" s="21" t="s">
        <v>202</v>
      </c>
      <c r="D165" s="21" t="s">
        <v>260</v>
      </c>
      <c r="E165" s="22" t="s">
        <v>244</v>
      </c>
      <c r="F165" s="6">
        <v>0</v>
      </c>
      <c r="G165" s="6">
        <v>583</v>
      </c>
      <c r="H165" s="6">
        <v>583</v>
      </c>
      <c r="I165" s="152">
        <f t="shared" si="10"/>
        <v>100</v>
      </c>
    </row>
    <row r="166" spans="1:9" ht="31.5">
      <c r="A166" s="15" t="s">
        <v>189</v>
      </c>
      <c r="B166" s="21" t="s">
        <v>197</v>
      </c>
      <c r="C166" s="21" t="s">
        <v>202</v>
      </c>
      <c r="D166" s="11" t="s">
        <v>288</v>
      </c>
      <c r="E166" s="22"/>
      <c r="F166" s="4">
        <f>F167+F171+F169</f>
        <v>700</v>
      </c>
      <c r="G166" s="4">
        <f>G167+G171+G169</f>
        <v>700</v>
      </c>
      <c r="H166" s="4">
        <f>H167+H171+H169</f>
        <v>698</v>
      </c>
      <c r="I166" s="152">
        <f t="shared" si="10"/>
        <v>99.71428571428571</v>
      </c>
    </row>
    <row r="167" spans="1:9" ht="32.25" customHeight="1">
      <c r="A167" s="12" t="s">
        <v>216</v>
      </c>
      <c r="B167" s="21" t="s">
        <v>197</v>
      </c>
      <c r="C167" s="21" t="s">
        <v>202</v>
      </c>
      <c r="D167" s="11" t="s">
        <v>289</v>
      </c>
      <c r="E167" s="22"/>
      <c r="F167" s="4">
        <f>F168</f>
        <v>400</v>
      </c>
      <c r="G167" s="4">
        <f>G168</f>
        <v>400</v>
      </c>
      <c r="H167" s="4">
        <f>H168</f>
        <v>400</v>
      </c>
      <c r="I167" s="152">
        <f t="shared" si="10"/>
        <v>100</v>
      </c>
    </row>
    <row r="168" spans="1:9" ht="15.75">
      <c r="A168" s="32" t="s">
        <v>243</v>
      </c>
      <c r="B168" s="21" t="s">
        <v>197</v>
      </c>
      <c r="C168" s="21" t="s">
        <v>202</v>
      </c>
      <c r="D168" s="11" t="s">
        <v>289</v>
      </c>
      <c r="E168" s="22" t="s">
        <v>244</v>
      </c>
      <c r="F168" s="4">
        <f>400</f>
        <v>400</v>
      </c>
      <c r="G168" s="4">
        <f>400</f>
        <v>400</v>
      </c>
      <c r="H168" s="4">
        <f>400</f>
        <v>400</v>
      </c>
      <c r="I168" s="152">
        <f t="shared" si="10"/>
        <v>100</v>
      </c>
    </row>
    <row r="169" spans="1:9" ht="16.5" customHeight="1">
      <c r="A169" s="32" t="s">
        <v>560</v>
      </c>
      <c r="B169" s="21" t="s">
        <v>197</v>
      </c>
      <c r="C169" s="21" t="s">
        <v>202</v>
      </c>
      <c r="D169" s="11" t="s">
        <v>561</v>
      </c>
      <c r="E169" s="22"/>
      <c r="F169" s="4">
        <f>F170</f>
        <v>100</v>
      </c>
      <c r="G169" s="4">
        <f>G170</f>
        <v>100</v>
      </c>
      <c r="H169" s="4">
        <f>H170</f>
        <v>99</v>
      </c>
      <c r="I169" s="152">
        <f t="shared" si="10"/>
        <v>99</v>
      </c>
    </row>
    <row r="170" spans="1:9" ht="15.75">
      <c r="A170" s="32" t="s">
        <v>243</v>
      </c>
      <c r="B170" s="21" t="s">
        <v>197</v>
      </c>
      <c r="C170" s="21" t="s">
        <v>202</v>
      </c>
      <c r="D170" s="11" t="s">
        <v>561</v>
      </c>
      <c r="E170" s="22" t="s">
        <v>244</v>
      </c>
      <c r="F170" s="4">
        <f>100</f>
        <v>100</v>
      </c>
      <c r="G170" s="4">
        <f>100</f>
        <v>100</v>
      </c>
      <c r="H170" s="4">
        <v>99</v>
      </c>
      <c r="I170" s="152">
        <f t="shared" si="10"/>
        <v>99</v>
      </c>
    </row>
    <row r="171" spans="1:9" ht="31.5">
      <c r="A171" s="9" t="s">
        <v>541</v>
      </c>
      <c r="B171" s="21" t="s">
        <v>197</v>
      </c>
      <c r="C171" s="21" t="s">
        <v>202</v>
      </c>
      <c r="D171" s="11" t="s">
        <v>291</v>
      </c>
      <c r="E171" s="22"/>
      <c r="F171" s="4">
        <f>F172</f>
        <v>200</v>
      </c>
      <c r="G171" s="4">
        <f>G172</f>
        <v>200</v>
      </c>
      <c r="H171" s="4">
        <f>H172</f>
        <v>199</v>
      </c>
      <c r="I171" s="152">
        <f aca="true" t="shared" si="15" ref="I171:I234">H171/G171*100</f>
        <v>99.5</v>
      </c>
    </row>
    <row r="172" spans="1:9" ht="15.75">
      <c r="A172" s="32" t="s">
        <v>243</v>
      </c>
      <c r="B172" s="21" t="s">
        <v>197</v>
      </c>
      <c r="C172" s="21" t="s">
        <v>202</v>
      </c>
      <c r="D172" s="11" t="s">
        <v>291</v>
      </c>
      <c r="E172" s="22" t="s">
        <v>244</v>
      </c>
      <c r="F172" s="4">
        <f>200</f>
        <v>200</v>
      </c>
      <c r="G172" s="4">
        <f>200</f>
        <v>200</v>
      </c>
      <c r="H172" s="4">
        <v>199</v>
      </c>
      <c r="I172" s="152">
        <f t="shared" si="15"/>
        <v>99.5</v>
      </c>
    </row>
    <row r="173" spans="1:9" ht="16.5" customHeight="1">
      <c r="A173" s="9" t="s">
        <v>454</v>
      </c>
      <c r="B173" s="21" t="s">
        <v>197</v>
      </c>
      <c r="C173" s="21" t="s">
        <v>202</v>
      </c>
      <c r="D173" s="11" t="s">
        <v>455</v>
      </c>
      <c r="E173" s="22"/>
      <c r="F173" s="4">
        <f>F174+F176</f>
        <v>1178</v>
      </c>
      <c r="G173" s="4">
        <f>G174+G176</f>
        <v>1178</v>
      </c>
      <c r="H173" s="4">
        <f>H174+H176</f>
        <v>1178</v>
      </c>
      <c r="I173" s="152">
        <f t="shared" si="15"/>
        <v>100</v>
      </c>
    </row>
    <row r="174" spans="1:9" ht="16.5" customHeight="1">
      <c r="A174" s="9" t="s">
        <v>542</v>
      </c>
      <c r="B174" s="21" t="s">
        <v>197</v>
      </c>
      <c r="C174" s="21" t="s">
        <v>202</v>
      </c>
      <c r="D174" s="11" t="s">
        <v>456</v>
      </c>
      <c r="E174" s="22"/>
      <c r="F174" s="4">
        <f>F175</f>
        <v>200</v>
      </c>
      <c r="G174" s="4">
        <f>G175</f>
        <v>200</v>
      </c>
      <c r="H174" s="4">
        <f>H175</f>
        <v>200</v>
      </c>
      <c r="I174" s="152">
        <f t="shared" si="15"/>
        <v>100</v>
      </c>
    </row>
    <row r="175" spans="1:9" ht="15.75">
      <c r="A175" s="20" t="s">
        <v>243</v>
      </c>
      <c r="B175" s="21" t="s">
        <v>197</v>
      </c>
      <c r="C175" s="21" t="s">
        <v>202</v>
      </c>
      <c r="D175" s="11" t="s">
        <v>456</v>
      </c>
      <c r="E175" s="22" t="s">
        <v>244</v>
      </c>
      <c r="F175" s="4">
        <f>200</f>
        <v>200</v>
      </c>
      <c r="G175" s="4">
        <f>200</f>
        <v>200</v>
      </c>
      <c r="H175" s="4">
        <v>200</v>
      </c>
      <c r="I175" s="152">
        <f t="shared" si="15"/>
        <v>100</v>
      </c>
    </row>
    <row r="176" spans="1:9" ht="15.75">
      <c r="A176" s="37" t="s">
        <v>625</v>
      </c>
      <c r="B176" s="21" t="s">
        <v>197</v>
      </c>
      <c r="C176" s="21" t="s">
        <v>202</v>
      </c>
      <c r="D176" s="18" t="s">
        <v>652</v>
      </c>
      <c r="E176" s="22"/>
      <c r="F176" s="4">
        <f>F177</f>
        <v>978</v>
      </c>
      <c r="G176" s="4">
        <f>G177</f>
        <v>978</v>
      </c>
      <c r="H176" s="4">
        <f>H177</f>
        <v>978</v>
      </c>
      <c r="I176" s="152">
        <f t="shared" si="15"/>
        <v>100</v>
      </c>
    </row>
    <row r="177" spans="1:9" ht="15.75">
      <c r="A177" s="20" t="s">
        <v>243</v>
      </c>
      <c r="B177" s="21" t="s">
        <v>197</v>
      </c>
      <c r="C177" s="21" t="s">
        <v>202</v>
      </c>
      <c r="D177" s="18" t="s">
        <v>652</v>
      </c>
      <c r="E177" s="22" t="s">
        <v>244</v>
      </c>
      <c r="F177" s="4">
        <f>3000-1000-1022</f>
        <v>978</v>
      </c>
      <c r="G177" s="4">
        <f>3000-1000-1022</f>
        <v>978</v>
      </c>
      <c r="H177" s="4">
        <f>3000-1000-1022</f>
        <v>978</v>
      </c>
      <c r="I177" s="152">
        <f t="shared" si="15"/>
        <v>100</v>
      </c>
    </row>
    <row r="178" spans="1:9" ht="15.75">
      <c r="A178" s="15" t="s">
        <v>238</v>
      </c>
      <c r="B178" s="21" t="s">
        <v>197</v>
      </c>
      <c r="C178" s="21" t="s">
        <v>202</v>
      </c>
      <c r="D178" s="11" t="s">
        <v>290</v>
      </c>
      <c r="E178" s="22"/>
      <c r="F178" s="4">
        <f aca="true" t="shared" si="16" ref="F178:H179">F179</f>
        <v>19751</v>
      </c>
      <c r="G178" s="4">
        <f t="shared" si="16"/>
        <v>19851</v>
      </c>
      <c r="H178" s="4">
        <f t="shared" si="16"/>
        <v>19691</v>
      </c>
      <c r="I178" s="152">
        <f t="shared" si="15"/>
        <v>99.19399526472218</v>
      </c>
    </row>
    <row r="179" spans="1:9" ht="15.75">
      <c r="A179" s="12" t="s">
        <v>176</v>
      </c>
      <c r="B179" s="21" t="s">
        <v>197</v>
      </c>
      <c r="C179" s="21" t="s">
        <v>202</v>
      </c>
      <c r="D179" s="11" t="s">
        <v>293</v>
      </c>
      <c r="E179" s="22"/>
      <c r="F179" s="4">
        <f t="shared" si="16"/>
        <v>19751</v>
      </c>
      <c r="G179" s="4">
        <f t="shared" si="16"/>
        <v>19851</v>
      </c>
      <c r="H179" s="4">
        <f t="shared" si="16"/>
        <v>19691</v>
      </c>
      <c r="I179" s="152">
        <f t="shared" si="15"/>
        <v>99.19399526472218</v>
      </c>
    </row>
    <row r="180" spans="1:9" ht="15.75">
      <c r="A180" s="12" t="s">
        <v>292</v>
      </c>
      <c r="B180" s="21" t="s">
        <v>197</v>
      </c>
      <c r="C180" s="21" t="s">
        <v>202</v>
      </c>
      <c r="D180" s="11" t="s">
        <v>293</v>
      </c>
      <c r="E180" s="22" t="s">
        <v>274</v>
      </c>
      <c r="F180" s="4">
        <f>18660+452+322+317</f>
        <v>19751</v>
      </c>
      <c r="G180" s="4">
        <v>19851</v>
      </c>
      <c r="H180" s="4">
        <v>19691</v>
      </c>
      <c r="I180" s="152">
        <f t="shared" si="15"/>
        <v>99.19399526472218</v>
      </c>
    </row>
    <row r="181" spans="1:9" ht="11.25" customHeight="1">
      <c r="A181" s="9"/>
      <c r="B181" s="21"/>
      <c r="C181" s="21"/>
      <c r="D181" s="11"/>
      <c r="E181" s="22"/>
      <c r="F181" s="4"/>
      <c r="G181" s="4"/>
      <c r="H181" s="4"/>
      <c r="I181" s="152"/>
    </row>
    <row r="182" spans="1:9" ht="31.5">
      <c r="A182" s="33" t="s">
        <v>295</v>
      </c>
      <c r="B182" s="28" t="s">
        <v>197</v>
      </c>
      <c r="C182" s="28" t="s">
        <v>262</v>
      </c>
      <c r="D182" s="35"/>
      <c r="E182" s="36"/>
      <c r="F182" s="7">
        <f aca="true" t="shared" si="17" ref="F182:H184">F183</f>
        <v>300</v>
      </c>
      <c r="G182" s="7">
        <f t="shared" si="17"/>
        <v>200</v>
      </c>
      <c r="H182" s="7">
        <f t="shared" si="17"/>
        <v>200</v>
      </c>
      <c r="I182" s="154">
        <f t="shared" si="15"/>
        <v>100</v>
      </c>
    </row>
    <row r="183" spans="1:9" ht="31.5">
      <c r="A183" s="9" t="s">
        <v>457</v>
      </c>
      <c r="B183" s="21" t="s">
        <v>197</v>
      </c>
      <c r="C183" s="21" t="s">
        <v>262</v>
      </c>
      <c r="D183" s="11" t="s">
        <v>459</v>
      </c>
      <c r="E183" s="22"/>
      <c r="F183" s="4">
        <f t="shared" si="17"/>
        <v>300</v>
      </c>
      <c r="G183" s="4">
        <f t="shared" si="17"/>
        <v>200</v>
      </c>
      <c r="H183" s="4">
        <f t="shared" si="17"/>
        <v>200</v>
      </c>
      <c r="I183" s="152">
        <f t="shared" si="15"/>
        <v>100</v>
      </c>
    </row>
    <row r="184" spans="1:9" ht="15.75">
      <c r="A184" s="45" t="s">
        <v>458</v>
      </c>
      <c r="B184" s="21" t="s">
        <v>197</v>
      </c>
      <c r="C184" s="21" t="s">
        <v>262</v>
      </c>
      <c r="D184" s="11" t="s">
        <v>460</v>
      </c>
      <c r="E184" s="22"/>
      <c r="F184" s="4">
        <f t="shared" si="17"/>
        <v>300</v>
      </c>
      <c r="G184" s="4">
        <f t="shared" si="17"/>
        <v>200</v>
      </c>
      <c r="H184" s="4">
        <f t="shared" si="17"/>
        <v>200</v>
      </c>
      <c r="I184" s="152">
        <f t="shared" si="15"/>
        <v>100</v>
      </c>
    </row>
    <row r="185" spans="1:9" ht="15.75">
      <c r="A185" s="12" t="s">
        <v>292</v>
      </c>
      <c r="B185" s="17" t="s">
        <v>197</v>
      </c>
      <c r="C185" s="17" t="s">
        <v>262</v>
      </c>
      <c r="D185" s="18" t="s">
        <v>460</v>
      </c>
      <c r="E185" s="19" t="s">
        <v>274</v>
      </c>
      <c r="F185" s="4">
        <f>300</f>
        <v>300</v>
      </c>
      <c r="G185" s="4">
        <v>200</v>
      </c>
      <c r="H185" s="4">
        <v>200</v>
      </c>
      <c r="I185" s="152">
        <f t="shared" si="15"/>
        <v>100</v>
      </c>
    </row>
    <row r="186" spans="1:9" ht="11.25" customHeight="1">
      <c r="A186" s="15"/>
      <c r="B186" s="21"/>
      <c r="C186" s="21"/>
      <c r="D186" s="11"/>
      <c r="E186" s="22"/>
      <c r="F186" s="13"/>
      <c r="G186" s="13"/>
      <c r="H186" s="13"/>
      <c r="I186" s="152"/>
    </row>
    <row r="187" spans="1:9" ht="15.75">
      <c r="A187" s="40" t="s">
        <v>296</v>
      </c>
      <c r="B187" s="54" t="s">
        <v>198</v>
      </c>
      <c r="C187" s="54"/>
      <c r="D187" s="39"/>
      <c r="E187" s="31"/>
      <c r="F187" s="5">
        <f>F188+F196+F216+F210</f>
        <v>103325</v>
      </c>
      <c r="G187" s="5">
        <f>G188+G196+G216+G210</f>
        <v>215221</v>
      </c>
      <c r="H187" s="5">
        <f>H188+H196+H216+H210</f>
        <v>211838</v>
      </c>
      <c r="I187" s="154">
        <f t="shared" si="15"/>
        <v>98.42812736675324</v>
      </c>
    </row>
    <row r="188" spans="1:9" ht="16.5" customHeight="1">
      <c r="A188" s="33" t="s">
        <v>461</v>
      </c>
      <c r="B188" s="28" t="s">
        <v>198</v>
      </c>
      <c r="C188" s="28" t="s">
        <v>196</v>
      </c>
      <c r="D188" s="35"/>
      <c r="E188" s="36"/>
      <c r="F188" s="7">
        <f>F192+F189</f>
        <v>13014</v>
      </c>
      <c r="G188" s="7">
        <f>G192+G189</f>
        <v>13014</v>
      </c>
      <c r="H188" s="7">
        <f>H192+H189</f>
        <v>11659</v>
      </c>
      <c r="I188" s="154">
        <f t="shared" si="15"/>
        <v>89.58813585369602</v>
      </c>
    </row>
    <row r="189" spans="1:9" ht="15.75">
      <c r="A189" s="26" t="s">
        <v>510</v>
      </c>
      <c r="B189" s="34" t="s">
        <v>198</v>
      </c>
      <c r="C189" s="34" t="s">
        <v>196</v>
      </c>
      <c r="D189" s="10" t="s">
        <v>481</v>
      </c>
      <c r="E189" s="25"/>
      <c r="F189" s="6">
        <f aca="true" t="shared" si="18" ref="F189:H190">F190</f>
        <v>5000</v>
      </c>
      <c r="G189" s="6">
        <f t="shared" si="18"/>
        <v>5000</v>
      </c>
      <c r="H189" s="6">
        <f t="shared" si="18"/>
        <v>3816</v>
      </c>
      <c r="I189" s="152">
        <f t="shared" si="15"/>
        <v>76.32</v>
      </c>
    </row>
    <row r="190" spans="1:9" ht="31.5">
      <c r="A190" s="9" t="s">
        <v>644</v>
      </c>
      <c r="B190" s="34" t="s">
        <v>198</v>
      </c>
      <c r="C190" s="34" t="s">
        <v>196</v>
      </c>
      <c r="D190" s="10" t="s">
        <v>645</v>
      </c>
      <c r="E190" s="25"/>
      <c r="F190" s="6">
        <f t="shared" si="18"/>
        <v>5000</v>
      </c>
      <c r="G190" s="6">
        <f t="shared" si="18"/>
        <v>5000</v>
      </c>
      <c r="H190" s="6">
        <f t="shared" si="18"/>
        <v>3816</v>
      </c>
      <c r="I190" s="152">
        <f t="shared" si="15"/>
        <v>76.32</v>
      </c>
    </row>
    <row r="191" spans="1:9" ht="15.75">
      <c r="A191" s="15" t="s">
        <v>309</v>
      </c>
      <c r="B191" s="34" t="s">
        <v>198</v>
      </c>
      <c r="C191" s="34" t="s">
        <v>196</v>
      </c>
      <c r="D191" s="10" t="s">
        <v>645</v>
      </c>
      <c r="E191" s="25" t="s">
        <v>310</v>
      </c>
      <c r="F191" s="6">
        <f>5000</f>
        <v>5000</v>
      </c>
      <c r="G191" s="6">
        <f>5000</f>
        <v>5000</v>
      </c>
      <c r="H191" s="6">
        <v>3816</v>
      </c>
      <c r="I191" s="152">
        <f t="shared" si="15"/>
        <v>76.32</v>
      </c>
    </row>
    <row r="192" spans="1:9" ht="15.75">
      <c r="A192" s="9" t="s">
        <v>230</v>
      </c>
      <c r="B192" s="34" t="s">
        <v>198</v>
      </c>
      <c r="C192" s="34" t="s">
        <v>196</v>
      </c>
      <c r="D192" s="10" t="s">
        <v>286</v>
      </c>
      <c r="E192" s="25"/>
      <c r="F192" s="6">
        <f aca="true" t="shared" si="19" ref="F192:H193">F193</f>
        <v>8014</v>
      </c>
      <c r="G192" s="6">
        <f t="shared" si="19"/>
        <v>8014</v>
      </c>
      <c r="H192" s="6">
        <f t="shared" si="19"/>
        <v>7843</v>
      </c>
      <c r="I192" s="152">
        <f t="shared" si="15"/>
        <v>97.86623409034189</v>
      </c>
    </row>
    <row r="193" spans="1:9" ht="32.25" customHeight="1">
      <c r="A193" s="9" t="s">
        <v>467</v>
      </c>
      <c r="B193" s="34" t="s">
        <v>198</v>
      </c>
      <c r="C193" s="34" t="s">
        <v>196</v>
      </c>
      <c r="D193" s="10" t="s">
        <v>462</v>
      </c>
      <c r="E193" s="25"/>
      <c r="F193" s="6">
        <f t="shared" si="19"/>
        <v>8014</v>
      </c>
      <c r="G193" s="6">
        <f t="shared" si="19"/>
        <v>8014</v>
      </c>
      <c r="H193" s="6">
        <f t="shared" si="19"/>
        <v>7843</v>
      </c>
      <c r="I193" s="152">
        <f t="shared" si="15"/>
        <v>97.86623409034189</v>
      </c>
    </row>
    <row r="194" spans="1:9" ht="15.75">
      <c r="A194" s="15" t="s">
        <v>309</v>
      </c>
      <c r="B194" s="34" t="s">
        <v>198</v>
      </c>
      <c r="C194" s="34" t="s">
        <v>196</v>
      </c>
      <c r="D194" s="10" t="s">
        <v>462</v>
      </c>
      <c r="E194" s="25" t="s">
        <v>310</v>
      </c>
      <c r="F194" s="6">
        <f>10500-2486</f>
        <v>8014</v>
      </c>
      <c r="G194" s="6">
        <f>10500-2486</f>
        <v>8014</v>
      </c>
      <c r="H194" s="6">
        <v>7843</v>
      </c>
      <c r="I194" s="152">
        <f t="shared" si="15"/>
        <v>97.86623409034189</v>
      </c>
    </row>
    <row r="195" spans="1:9" ht="12" customHeight="1">
      <c r="A195" s="40"/>
      <c r="B195" s="54"/>
      <c r="C195" s="54"/>
      <c r="D195" s="39"/>
      <c r="E195" s="31"/>
      <c r="F195" s="5"/>
      <c r="G195" s="5"/>
      <c r="H195" s="5"/>
      <c r="I195" s="152"/>
    </row>
    <row r="196" spans="1:9" ht="15.75">
      <c r="A196" s="27" t="s">
        <v>297</v>
      </c>
      <c r="B196" s="28" t="s">
        <v>198</v>
      </c>
      <c r="C196" s="28" t="s">
        <v>204</v>
      </c>
      <c r="D196" s="29"/>
      <c r="E196" s="30"/>
      <c r="F196" s="7">
        <f>F197+F201+F204</f>
        <v>83950</v>
      </c>
      <c r="G196" s="7">
        <f>G197+G201+G204</f>
        <v>83950</v>
      </c>
      <c r="H196" s="7">
        <f>H197+H201+H204</f>
        <v>83641</v>
      </c>
      <c r="I196" s="154">
        <f t="shared" si="15"/>
        <v>99.63192376414533</v>
      </c>
    </row>
    <row r="197" spans="1:9" ht="31.5">
      <c r="A197" s="15" t="s">
        <v>313</v>
      </c>
      <c r="B197" s="34" t="s">
        <v>198</v>
      </c>
      <c r="C197" s="34" t="s">
        <v>204</v>
      </c>
      <c r="D197" s="11" t="s">
        <v>314</v>
      </c>
      <c r="E197" s="22"/>
      <c r="F197" s="6">
        <f aca="true" t="shared" si="20" ref="F197:H199">F198</f>
        <v>16000</v>
      </c>
      <c r="G197" s="6">
        <f t="shared" si="20"/>
        <v>16000</v>
      </c>
      <c r="H197" s="6">
        <f t="shared" si="20"/>
        <v>15691</v>
      </c>
      <c r="I197" s="152">
        <f t="shared" si="15"/>
        <v>98.06875000000001</v>
      </c>
    </row>
    <row r="198" spans="1:9" ht="63">
      <c r="A198" s="70" t="s">
        <v>439</v>
      </c>
      <c r="B198" s="34" t="s">
        <v>198</v>
      </c>
      <c r="C198" s="34" t="s">
        <v>204</v>
      </c>
      <c r="D198" s="11" t="s">
        <v>441</v>
      </c>
      <c r="E198" s="22"/>
      <c r="F198" s="6">
        <f t="shared" si="20"/>
        <v>16000</v>
      </c>
      <c r="G198" s="6">
        <f t="shared" si="20"/>
        <v>16000</v>
      </c>
      <c r="H198" s="6">
        <f t="shared" si="20"/>
        <v>15691</v>
      </c>
      <c r="I198" s="152">
        <f t="shared" si="15"/>
        <v>98.06875000000001</v>
      </c>
    </row>
    <row r="199" spans="1:9" ht="31.5">
      <c r="A199" s="20" t="s">
        <v>440</v>
      </c>
      <c r="B199" s="34" t="s">
        <v>198</v>
      </c>
      <c r="C199" s="34" t="s">
        <v>204</v>
      </c>
      <c r="D199" s="11" t="s">
        <v>442</v>
      </c>
      <c r="E199" s="22"/>
      <c r="F199" s="6">
        <f t="shared" si="20"/>
        <v>16000</v>
      </c>
      <c r="G199" s="6">
        <f t="shared" si="20"/>
        <v>16000</v>
      </c>
      <c r="H199" s="6">
        <f t="shared" si="20"/>
        <v>15691</v>
      </c>
      <c r="I199" s="152">
        <f t="shared" si="15"/>
        <v>98.06875000000001</v>
      </c>
    </row>
    <row r="200" spans="1:9" ht="15.75">
      <c r="A200" s="15" t="s">
        <v>309</v>
      </c>
      <c r="B200" s="34" t="s">
        <v>198</v>
      </c>
      <c r="C200" s="34" t="s">
        <v>204</v>
      </c>
      <c r="D200" s="11" t="s">
        <v>442</v>
      </c>
      <c r="E200" s="22" t="s">
        <v>310</v>
      </c>
      <c r="F200" s="6">
        <f>17000-1000</f>
        <v>16000</v>
      </c>
      <c r="G200" s="6">
        <f>17000-1000</f>
        <v>16000</v>
      </c>
      <c r="H200" s="6">
        <v>15691</v>
      </c>
      <c r="I200" s="152">
        <f t="shared" si="15"/>
        <v>98.06875000000001</v>
      </c>
    </row>
    <row r="201" spans="1:9" ht="15.75">
      <c r="A201" s="15" t="s">
        <v>414</v>
      </c>
      <c r="B201" s="34" t="s">
        <v>198</v>
      </c>
      <c r="C201" s="34" t="s">
        <v>204</v>
      </c>
      <c r="D201" s="10" t="s">
        <v>416</v>
      </c>
      <c r="E201" s="46"/>
      <c r="F201" s="6">
        <f aca="true" t="shared" si="21" ref="F201:H202">F202</f>
        <v>42000</v>
      </c>
      <c r="G201" s="6">
        <f t="shared" si="21"/>
        <v>42000</v>
      </c>
      <c r="H201" s="6">
        <f t="shared" si="21"/>
        <v>42000</v>
      </c>
      <c r="I201" s="152">
        <f t="shared" si="15"/>
        <v>100</v>
      </c>
    </row>
    <row r="202" spans="1:9" ht="15.75">
      <c r="A202" s="15" t="s">
        <v>415</v>
      </c>
      <c r="B202" s="34" t="s">
        <v>198</v>
      </c>
      <c r="C202" s="34" t="s">
        <v>204</v>
      </c>
      <c r="D202" s="10" t="s">
        <v>417</v>
      </c>
      <c r="E202" s="46"/>
      <c r="F202" s="6">
        <f t="shared" si="21"/>
        <v>42000</v>
      </c>
      <c r="G202" s="6">
        <f t="shared" si="21"/>
        <v>42000</v>
      </c>
      <c r="H202" s="6">
        <f t="shared" si="21"/>
        <v>42000</v>
      </c>
      <c r="I202" s="152">
        <f t="shared" si="15"/>
        <v>100</v>
      </c>
    </row>
    <row r="203" spans="1:9" ht="15.75">
      <c r="A203" s="20" t="s">
        <v>243</v>
      </c>
      <c r="B203" s="23" t="s">
        <v>198</v>
      </c>
      <c r="C203" s="23" t="s">
        <v>204</v>
      </c>
      <c r="D203" s="44" t="s">
        <v>417</v>
      </c>
      <c r="E203" s="16" t="s">
        <v>244</v>
      </c>
      <c r="F203" s="6">
        <f>42000-3000+3000</f>
        <v>42000</v>
      </c>
      <c r="G203" s="6">
        <f>42000-3000+3000</f>
        <v>42000</v>
      </c>
      <c r="H203" s="6">
        <v>42000</v>
      </c>
      <c r="I203" s="152">
        <f t="shared" si="15"/>
        <v>100</v>
      </c>
    </row>
    <row r="204" spans="1:9" ht="15.75">
      <c r="A204" s="15" t="s">
        <v>433</v>
      </c>
      <c r="B204" s="34" t="s">
        <v>198</v>
      </c>
      <c r="C204" s="21" t="s">
        <v>204</v>
      </c>
      <c r="D204" s="11" t="s">
        <v>435</v>
      </c>
      <c r="E204" s="22"/>
      <c r="F204" s="4">
        <f>F205+F207</f>
        <v>25950</v>
      </c>
      <c r="G204" s="4">
        <f>G205+G207</f>
        <v>25950</v>
      </c>
      <c r="H204" s="4">
        <f>H205+H207</f>
        <v>25950</v>
      </c>
      <c r="I204" s="152">
        <f t="shared" si="15"/>
        <v>100</v>
      </c>
    </row>
    <row r="205" spans="1:9" ht="47.25">
      <c r="A205" s="12" t="s">
        <v>550</v>
      </c>
      <c r="B205" s="34" t="s">
        <v>198</v>
      </c>
      <c r="C205" s="21" t="s">
        <v>204</v>
      </c>
      <c r="D205" s="11" t="s">
        <v>436</v>
      </c>
      <c r="E205" s="22"/>
      <c r="F205" s="4">
        <f>F206</f>
        <v>1550</v>
      </c>
      <c r="G205" s="4">
        <f>G206</f>
        <v>1550</v>
      </c>
      <c r="H205" s="4">
        <f>H206</f>
        <v>1550</v>
      </c>
      <c r="I205" s="152">
        <f t="shared" si="15"/>
        <v>100</v>
      </c>
    </row>
    <row r="206" spans="1:9" ht="15.75">
      <c r="A206" s="45" t="s">
        <v>269</v>
      </c>
      <c r="B206" s="23" t="s">
        <v>198</v>
      </c>
      <c r="C206" s="17" t="s">
        <v>204</v>
      </c>
      <c r="D206" s="18" t="s">
        <v>436</v>
      </c>
      <c r="E206" s="19" t="s">
        <v>270</v>
      </c>
      <c r="F206" s="4">
        <f>2000-450</f>
        <v>1550</v>
      </c>
      <c r="G206" s="4">
        <f>2000-450</f>
        <v>1550</v>
      </c>
      <c r="H206" s="4">
        <f>2000-450</f>
        <v>1550</v>
      </c>
      <c r="I206" s="152">
        <f t="shared" si="15"/>
        <v>100</v>
      </c>
    </row>
    <row r="207" spans="1:9" ht="31.5">
      <c r="A207" s="45" t="s">
        <v>4</v>
      </c>
      <c r="B207" s="23" t="s">
        <v>198</v>
      </c>
      <c r="C207" s="17" t="s">
        <v>204</v>
      </c>
      <c r="D207" s="18" t="s">
        <v>570</v>
      </c>
      <c r="E207" s="19"/>
      <c r="F207" s="111">
        <f>F208</f>
        <v>24400</v>
      </c>
      <c r="G207" s="111">
        <f>G208</f>
        <v>24400</v>
      </c>
      <c r="H207" s="111">
        <f>H208</f>
        <v>24400</v>
      </c>
      <c r="I207" s="152">
        <f t="shared" si="15"/>
        <v>100</v>
      </c>
    </row>
    <row r="208" spans="1:9" ht="15.75">
      <c r="A208" s="45" t="s">
        <v>269</v>
      </c>
      <c r="B208" s="23" t="s">
        <v>198</v>
      </c>
      <c r="C208" s="17" t="s">
        <v>204</v>
      </c>
      <c r="D208" s="18" t="s">
        <v>570</v>
      </c>
      <c r="E208" s="19" t="s">
        <v>270</v>
      </c>
      <c r="F208" s="111">
        <f>3000+3000+8000+8400+2000</f>
        <v>24400</v>
      </c>
      <c r="G208" s="111">
        <f>3000+3000+8000+8400+2000</f>
        <v>24400</v>
      </c>
      <c r="H208" s="111">
        <f>3000+3000+8000+8400+2000</f>
        <v>24400</v>
      </c>
      <c r="I208" s="152">
        <f t="shared" si="15"/>
        <v>100</v>
      </c>
    </row>
    <row r="209" spans="1:9" ht="12" customHeight="1">
      <c r="A209" s="45"/>
      <c r="B209" s="23"/>
      <c r="C209" s="17"/>
      <c r="D209" s="18"/>
      <c r="E209" s="19"/>
      <c r="F209" s="111"/>
      <c r="G209" s="111"/>
      <c r="H209" s="111"/>
      <c r="I209" s="152"/>
    </row>
    <row r="210" spans="1:9" ht="15.75">
      <c r="A210" s="57" t="s">
        <v>114</v>
      </c>
      <c r="B210" s="148" t="s">
        <v>198</v>
      </c>
      <c r="C210" s="148" t="s">
        <v>202</v>
      </c>
      <c r="D210" s="149"/>
      <c r="E210" s="150"/>
      <c r="F210" s="151">
        <f aca="true" t="shared" si="22" ref="F210:H213">F211</f>
        <v>0</v>
      </c>
      <c r="G210" s="151">
        <f t="shared" si="22"/>
        <v>106474</v>
      </c>
      <c r="H210" s="151">
        <f t="shared" si="22"/>
        <v>104869</v>
      </c>
      <c r="I210" s="154">
        <f t="shared" si="15"/>
        <v>98.49258974021828</v>
      </c>
    </row>
    <row r="211" spans="1:9" ht="15.75">
      <c r="A211" s="45" t="s">
        <v>114</v>
      </c>
      <c r="B211" s="23" t="s">
        <v>110</v>
      </c>
      <c r="C211" s="17" t="s">
        <v>202</v>
      </c>
      <c r="D211" s="18" t="s">
        <v>111</v>
      </c>
      <c r="E211" s="19"/>
      <c r="F211" s="111">
        <f t="shared" si="22"/>
        <v>0</v>
      </c>
      <c r="G211" s="111">
        <f t="shared" si="22"/>
        <v>106474</v>
      </c>
      <c r="H211" s="111">
        <f t="shared" si="22"/>
        <v>104869</v>
      </c>
      <c r="I211" s="152">
        <f t="shared" si="15"/>
        <v>98.49258974021828</v>
      </c>
    </row>
    <row r="212" spans="1:9" ht="15.75">
      <c r="A212" s="45" t="s">
        <v>115</v>
      </c>
      <c r="B212" s="23" t="s">
        <v>198</v>
      </c>
      <c r="C212" s="17" t="s">
        <v>202</v>
      </c>
      <c r="D212" s="18" t="s">
        <v>112</v>
      </c>
      <c r="E212" s="19"/>
      <c r="F212" s="111">
        <f t="shared" si="22"/>
        <v>0</v>
      </c>
      <c r="G212" s="111">
        <f t="shared" si="22"/>
        <v>106474</v>
      </c>
      <c r="H212" s="111">
        <f t="shared" si="22"/>
        <v>104869</v>
      </c>
      <c r="I212" s="152">
        <f t="shared" si="15"/>
        <v>98.49258974021828</v>
      </c>
    </row>
    <row r="213" spans="1:9" ht="63">
      <c r="A213" s="45" t="s">
        <v>116</v>
      </c>
      <c r="B213" s="23" t="s">
        <v>198</v>
      </c>
      <c r="C213" s="17" t="s">
        <v>202</v>
      </c>
      <c r="D213" s="18" t="s">
        <v>113</v>
      </c>
      <c r="E213" s="19"/>
      <c r="F213" s="111">
        <f t="shared" si="22"/>
        <v>0</v>
      </c>
      <c r="G213" s="111">
        <f t="shared" si="22"/>
        <v>106474</v>
      </c>
      <c r="H213" s="111">
        <f t="shared" si="22"/>
        <v>104869</v>
      </c>
      <c r="I213" s="152">
        <f t="shared" si="15"/>
        <v>98.49258974021828</v>
      </c>
    </row>
    <row r="214" spans="1:9" ht="15.75">
      <c r="A214" s="20" t="s">
        <v>243</v>
      </c>
      <c r="B214" s="23" t="s">
        <v>198</v>
      </c>
      <c r="C214" s="17" t="s">
        <v>202</v>
      </c>
      <c r="D214" s="18" t="s">
        <v>113</v>
      </c>
      <c r="E214" s="19" t="s">
        <v>244</v>
      </c>
      <c r="F214" s="111">
        <v>0</v>
      </c>
      <c r="G214" s="111">
        <v>106474</v>
      </c>
      <c r="H214" s="111">
        <v>104869</v>
      </c>
      <c r="I214" s="152">
        <f t="shared" si="15"/>
        <v>98.49258974021828</v>
      </c>
    </row>
    <row r="215" spans="1:9" ht="12" customHeight="1">
      <c r="A215" s="12"/>
      <c r="B215" s="34"/>
      <c r="C215" s="21"/>
      <c r="D215" s="11"/>
      <c r="E215" s="22"/>
      <c r="F215" s="13"/>
      <c r="G215" s="13"/>
      <c r="H215" s="13"/>
      <c r="I215" s="152"/>
    </row>
    <row r="216" spans="1:9" ht="15.75">
      <c r="A216" s="27" t="s">
        <v>300</v>
      </c>
      <c r="B216" s="28" t="s">
        <v>198</v>
      </c>
      <c r="C216" s="28" t="s">
        <v>201</v>
      </c>
      <c r="D216" s="35"/>
      <c r="E216" s="36"/>
      <c r="F216" s="7">
        <f>F231+F217+F223+F227</f>
        <v>6361</v>
      </c>
      <c r="G216" s="7">
        <f>G231+G217+G223+G227</f>
        <v>11783</v>
      </c>
      <c r="H216" s="7">
        <f>H231+H217+H223+H227</f>
        <v>11669</v>
      </c>
      <c r="I216" s="154">
        <f t="shared" si="15"/>
        <v>99.0325044555716</v>
      </c>
    </row>
    <row r="217" spans="1:9" ht="32.25" customHeight="1">
      <c r="A217" s="15" t="s">
        <v>8</v>
      </c>
      <c r="B217" s="34" t="s">
        <v>198</v>
      </c>
      <c r="C217" s="34" t="s">
        <v>201</v>
      </c>
      <c r="D217" s="10" t="s">
        <v>9</v>
      </c>
      <c r="E217" s="25"/>
      <c r="F217" s="6">
        <f>F221+F218</f>
        <v>1248</v>
      </c>
      <c r="G217" s="6">
        <f>G221+G218</f>
        <v>4160</v>
      </c>
      <c r="H217" s="6">
        <f>H221+H218</f>
        <v>4160</v>
      </c>
      <c r="I217" s="152">
        <f t="shared" si="15"/>
        <v>100</v>
      </c>
    </row>
    <row r="218" spans="1:9" ht="31.5">
      <c r="A218" s="15" t="s">
        <v>119</v>
      </c>
      <c r="B218" s="34" t="s">
        <v>198</v>
      </c>
      <c r="C218" s="34" t="s">
        <v>201</v>
      </c>
      <c r="D218" s="10" t="s">
        <v>117</v>
      </c>
      <c r="E218" s="25"/>
      <c r="F218" s="6">
        <f aca="true" t="shared" si="23" ref="F218:H219">F219</f>
        <v>0</v>
      </c>
      <c r="G218" s="6">
        <f t="shared" si="23"/>
        <v>2912</v>
      </c>
      <c r="H218" s="6">
        <f t="shared" si="23"/>
        <v>2912</v>
      </c>
      <c r="I218" s="152">
        <f t="shared" si="15"/>
        <v>100</v>
      </c>
    </row>
    <row r="219" spans="1:9" ht="15.75">
      <c r="A219" s="15" t="s">
        <v>137</v>
      </c>
      <c r="B219" s="34" t="s">
        <v>198</v>
      </c>
      <c r="C219" s="34" t="s">
        <v>201</v>
      </c>
      <c r="D219" s="10" t="s">
        <v>118</v>
      </c>
      <c r="E219" s="25"/>
      <c r="F219" s="6">
        <f t="shared" si="23"/>
        <v>0</v>
      </c>
      <c r="G219" s="6">
        <f t="shared" si="23"/>
        <v>2912</v>
      </c>
      <c r="H219" s="6">
        <f t="shared" si="23"/>
        <v>2912</v>
      </c>
      <c r="I219" s="152">
        <f t="shared" si="15"/>
        <v>100</v>
      </c>
    </row>
    <row r="220" spans="1:9" ht="15.75">
      <c r="A220" s="15" t="s">
        <v>12</v>
      </c>
      <c r="B220" s="34" t="s">
        <v>198</v>
      </c>
      <c r="C220" s="34" t="s">
        <v>201</v>
      </c>
      <c r="D220" s="10" t="s">
        <v>118</v>
      </c>
      <c r="E220" s="25" t="s">
        <v>244</v>
      </c>
      <c r="F220" s="6">
        <v>0</v>
      </c>
      <c r="G220" s="6">
        <v>2912</v>
      </c>
      <c r="H220" s="6">
        <v>2912</v>
      </c>
      <c r="I220" s="152">
        <f t="shared" si="15"/>
        <v>100</v>
      </c>
    </row>
    <row r="221" spans="1:9" ht="31.5">
      <c r="A221" s="15" t="s">
        <v>10</v>
      </c>
      <c r="B221" s="34" t="s">
        <v>198</v>
      </c>
      <c r="C221" s="34" t="s">
        <v>201</v>
      </c>
      <c r="D221" s="10" t="s">
        <v>11</v>
      </c>
      <c r="E221" s="25"/>
      <c r="F221" s="6">
        <f>F222</f>
        <v>1248</v>
      </c>
      <c r="G221" s="6">
        <f>G222</f>
        <v>1248</v>
      </c>
      <c r="H221" s="6">
        <f>H222</f>
        <v>1248</v>
      </c>
      <c r="I221" s="152">
        <f t="shared" si="15"/>
        <v>100</v>
      </c>
    </row>
    <row r="222" spans="1:9" ht="15.75">
      <c r="A222" s="15" t="s">
        <v>12</v>
      </c>
      <c r="B222" s="34" t="s">
        <v>198</v>
      </c>
      <c r="C222" s="34" t="s">
        <v>201</v>
      </c>
      <c r="D222" s="10" t="s">
        <v>11</v>
      </c>
      <c r="E222" s="25" t="s">
        <v>244</v>
      </c>
      <c r="F222" s="6">
        <f>1248</f>
        <v>1248</v>
      </c>
      <c r="G222" s="6">
        <f>1248</f>
        <v>1248</v>
      </c>
      <c r="H222" s="6">
        <f>1248</f>
        <v>1248</v>
      </c>
      <c r="I222" s="152">
        <f t="shared" si="15"/>
        <v>100</v>
      </c>
    </row>
    <row r="223" spans="1:9" ht="16.5" customHeight="1">
      <c r="A223" s="15" t="s">
        <v>42</v>
      </c>
      <c r="B223" s="34" t="s">
        <v>198</v>
      </c>
      <c r="C223" s="34" t="s">
        <v>201</v>
      </c>
      <c r="D223" s="10" t="s">
        <v>43</v>
      </c>
      <c r="E223" s="25"/>
      <c r="F223" s="6">
        <f>F224</f>
        <v>1450</v>
      </c>
      <c r="G223" s="6">
        <f>G224</f>
        <v>3570</v>
      </c>
      <c r="H223" s="6">
        <f>H224</f>
        <v>3463</v>
      </c>
      <c r="I223" s="152">
        <f t="shared" si="15"/>
        <v>97.00280112044818</v>
      </c>
    </row>
    <row r="224" spans="1:9" ht="32.25" customHeight="1">
      <c r="A224" s="15" t="s">
        <v>44</v>
      </c>
      <c r="B224" s="34" t="s">
        <v>198</v>
      </c>
      <c r="C224" s="34" t="s">
        <v>201</v>
      </c>
      <c r="D224" s="10" t="s">
        <v>45</v>
      </c>
      <c r="E224" s="25"/>
      <c r="F224" s="6">
        <f>F225+F226</f>
        <v>1450</v>
      </c>
      <c r="G224" s="6">
        <f>G225+G226</f>
        <v>3570</v>
      </c>
      <c r="H224" s="6">
        <f>H225+H226</f>
        <v>3463</v>
      </c>
      <c r="I224" s="152">
        <f t="shared" si="15"/>
        <v>97.00280112044818</v>
      </c>
    </row>
    <row r="225" spans="1:9" ht="15.75">
      <c r="A225" s="15" t="s">
        <v>269</v>
      </c>
      <c r="B225" s="34" t="s">
        <v>198</v>
      </c>
      <c r="C225" s="34" t="s">
        <v>201</v>
      </c>
      <c r="D225" s="10" t="s">
        <v>45</v>
      </c>
      <c r="E225" s="25" t="s">
        <v>270</v>
      </c>
      <c r="F225" s="6">
        <f>1450</f>
        <v>1450</v>
      </c>
      <c r="G225" s="6">
        <v>2950</v>
      </c>
      <c r="H225" s="6">
        <v>2950</v>
      </c>
      <c r="I225" s="152">
        <f t="shared" si="15"/>
        <v>100</v>
      </c>
    </row>
    <row r="226" spans="1:9" ht="15.75">
      <c r="A226" s="15" t="s">
        <v>12</v>
      </c>
      <c r="B226" s="34" t="s">
        <v>198</v>
      </c>
      <c r="C226" s="34" t="s">
        <v>201</v>
      </c>
      <c r="D226" s="10" t="s">
        <v>45</v>
      </c>
      <c r="E226" s="25" t="s">
        <v>244</v>
      </c>
      <c r="F226" s="6">
        <v>0</v>
      </c>
      <c r="G226" s="6">
        <v>620</v>
      </c>
      <c r="H226" s="6">
        <v>513</v>
      </c>
      <c r="I226" s="152">
        <f t="shared" si="15"/>
        <v>82.74193548387096</v>
      </c>
    </row>
    <row r="227" spans="1:9" ht="15.75">
      <c r="A227" s="26" t="s">
        <v>510</v>
      </c>
      <c r="B227" s="34" t="s">
        <v>198</v>
      </c>
      <c r="C227" s="34" t="s">
        <v>201</v>
      </c>
      <c r="D227" s="10" t="s">
        <v>481</v>
      </c>
      <c r="E227" s="25"/>
      <c r="F227" s="6">
        <f>F228</f>
        <v>550</v>
      </c>
      <c r="G227" s="6">
        <f>G228</f>
        <v>940</v>
      </c>
      <c r="H227" s="6">
        <f>H228</f>
        <v>940</v>
      </c>
      <c r="I227" s="152">
        <f t="shared" si="15"/>
        <v>100</v>
      </c>
    </row>
    <row r="228" spans="1:9" ht="47.25">
      <c r="A228" s="15" t="s">
        <v>616</v>
      </c>
      <c r="B228" s="34" t="s">
        <v>198</v>
      </c>
      <c r="C228" s="34" t="s">
        <v>201</v>
      </c>
      <c r="D228" s="10" t="s">
        <v>99</v>
      </c>
      <c r="E228" s="25"/>
      <c r="F228" s="6">
        <f>F229+F230</f>
        <v>550</v>
      </c>
      <c r="G228" s="6">
        <f>G229+G230</f>
        <v>940</v>
      </c>
      <c r="H228" s="6">
        <f>H229+H230</f>
        <v>940</v>
      </c>
      <c r="I228" s="152">
        <f t="shared" si="15"/>
        <v>100</v>
      </c>
    </row>
    <row r="229" spans="1:9" ht="15.75">
      <c r="A229" s="15" t="s">
        <v>269</v>
      </c>
      <c r="B229" s="34" t="s">
        <v>198</v>
      </c>
      <c r="C229" s="34" t="s">
        <v>201</v>
      </c>
      <c r="D229" s="10" t="s">
        <v>99</v>
      </c>
      <c r="E229" s="25" t="s">
        <v>270</v>
      </c>
      <c r="F229" s="6">
        <v>550</v>
      </c>
      <c r="G229" s="6">
        <v>550</v>
      </c>
      <c r="H229" s="6">
        <v>550</v>
      </c>
      <c r="I229" s="152">
        <f t="shared" si="15"/>
        <v>100</v>
      </c>
    </row>
    <row r="230" spans="1:9" ht="15.75">
      <c r="A230" s="15" t="s">
        <v>12</v>
      </c>
      <c r="B230" s="34" t="s">
        <v>198</v>
      </c>
      <c r="C230" s="34" t="s">
        <v>201</v>
      </c>
      <c r="D230" s="10" t="s">
        <v>99</v>
      </c>
      <c r="E230" s="25" t="s">
        <v>244</v>
      </c>
      <c r="F230" s="6">
        <v>0</v>
      </c>
      <c r="G230" s="6">
        <v>390</v>
      </c>
      <c r="H230" s="6">
        <v>390</v>
      </c>
      <c r="I230" s="152">
        <f t="shared" si="15"/>
        <v>100</v>
      </c>
    </row>
    <row r="231" spans="1:9" ht="15.75">
      <c r="A231" s="9" t="s">
        <v>230</v>
      </c>
      <c r="B231" s="34" t="s">
        <v>198</v>
      </c>
      <c r="C231" s="21" t="s">
        <v>201</v>
      </c>
      <c r="D231" s="11" t="s">
        <v>286</v>
      </c>
      <c r="E231" s="22"/>
      <c r="F231" s="4">
        <f>F232+F235</f>
        <v>3113</v>
      </c>
      <c r="G231" s="4">
        <f>G232+G235</f>
        <v>3113</v>
      </c>
      <c r="H231" s="4">
        <f>H232+H235</f>
        <v>3106</v>
      </c>
      <c r="I231" s="152">
        <f t="shared" si="15"/>
        <v>99.77513652425313</v>
      </c>
    </row>
    <row r="232" spans="1:9" ht="47.25">
      <c r="A232" s="26" t="s">
        <v>523</v>
      </c>
      <c r="B232" s="34" t="s">
        <v>198</v>
      </c>
      <c r="C232" s="21" t="s">
        <v>201</v>
      </c>
      <c r="D232" s="11" t="s">
        <v>301</v>
      </c>
      <c r="E232" s="22"/>
      <c r="F232" s="4">
        <f>F234+F233</f>
        <v>2783</v>
      </c>
      <c r="G232" s="4">
        <f>G234+G233</f>
        <v>2783</v>
      </c>
      <c r="H232" s="4">
        <f>H234+H233</f>
        <v>2780</v>
      </c>
      <c r="I232" s="152">
        <f t="shared" si="15"/>
        <v>99.89220265900107</v>
      </c>
    </row>
    <row r="233" spans="1:9" ht="15.75">
      <c r="A233" s="45" t="s">
        <v>269</v>
      </c>
      <c r="B233" s="34" t="s">
        <v>198</v>
      </c>
      <c r="C233" s="21" t="s">
        <v>201</v>
      </c>
      <c r="D233" s="11" t="s">
        <v>301</v>
      </c>
      <c r="E233" s="22" t="s">
        <v>270</v>
      </c>
      <c r="F233" s="4">
        <f>123+2000</f>
        <v>2123</v>
      </c>
      <c r="G233" s="4">
        <f>123+2000</f>
        <v>2123</v>
      </c>
      <c r="H233" s="4">
        <v>2121</v>
      </c>
      <c r="I233" s="152">
        <f t="shared" si="15"/>
        <v>99.9057936881771</v>
      </c>
    </row>
    <row r="234" spans="1:9" ht="15.75">
      <c r="A234" s="20" t="s">
        <v>243</v>
      </c>
      <c r="B234" s="23" t="s">
        <v>198</v>
      </c>
      <c r="C234" s="17" t="s">
        <v>201</v>
      </c>
      <c r="D234" s="18" t="s">
        <v>301</v>
      </c>
      <c r="E234" s="19" t="s">
        <v>244</v>
      </c>
      <c r="F234" s="24">
        <f>660</f>
        <v>660</v>
      </c>
      <c r="G234" s="24">
        <f>660</f>
        <v>660</v>
      </c>
      <c r="H234" s="24">
        <v>659</v>
      </c>
      <c r="I234" s="152">
        <f t="shared" si="15"/>
        <v>99.84848484848486</v>
      </c>
    </row>
    <row r="235" spans="1:9" ht="31.5">
      <c r="A235" s="37" t="s">
        <v>587</v>
      </c>
      <c r="B235" s="17" t="s">
        <v>198</v>
      </c>
      <c r="C235" s="17" t="s">
        <v>201</v>
      </c>
      <c r="D235" s="17" t="s">
        <v>308</v>
      </c>
      <c r="E235" s="19"/>
      <c r="F235" s="24">
        <f>F236</f>
        <v>330</v>
      </c>
      <c r="G235" s="24">
        <f>G236</f>
        <v>330</v>
      </c>
      <c r="H235" s="24">
        <f>H236</f>
        <v>326</v>
      </c>
      <c r="I235" s="152">
        <f aca="true" t="shared" si="24" ref="I235:I292">H235/G235*100</f>
        <v>98.7878787878788</v>
      </c>
    </row>
    <row r="236" spans="1:9" ht="15.75">
      <c r="A236" s="37" t="s">
        <v>243</v>
      </c>
      <c r="B236" s="17" t="s">
        <v>198</v>
      </c>
      <c r="C236" s="17" t="s">
        <v>201</v>
      </c>
      <c r="D236" s="17" t="s">
        <v>308</v>
      </c>
      <c r="E236" s="19" t="s">
        <v>244</v>
      </c>
      <c r="F236" s="24">
        <f>330</f>
        <v>330</v>
      </c>
      <c r="G236" s="24">
        <f>330</f>
        <v>330</v>
      </c>
      <c r="H236" s="24">
        <v>326</v>
      </c>
      <c r="I236" s="152">
        <f t="shared" si="24"/>
        <v>98.7878787878788</v>
      </c>
    </row>
    <row r="237" spans="1:9" ht="12" customHeight="1">
      <c r="A237" s="12"/>
      <c r="B237" s="47"/>
      <c r="C237" s="47"/>
      <c r="D237" s="48"/>
      <c r="E237" s="49"/>
      <c r="F237" s="13"/>
      <c r="G237" s="13"/>
      <c r="H237" s="13"/>
      <c r="I237" s="152"/>
    </row>
    <row r="238" spans="1:9" ht="16.5" customHeight="1">
      <c r="A238" s="40" t="s">
        <v>302</v>
      </c>
      <c r="B238" s="54" t="s">
        <v>205</v>
      </c>
      <c r="C238" s="54"/>
      <c r="D238" s="55"/>
      <c r="E238" s="56"/>
      <c r="F238" s="5">
        <f>F239+F294+F325+F400</f>
        <v>1931773</v>
      </c>
      <c r="G238" s="5">
        <f>G239+G294+G325+G400</f>
        <v>2431677</v>
      </c>
      <c r="H238" s="5">
        <f>H239+H294+H325+H400</f>
        <v>2150176</v>
      </c>
      <c r="I238" s="154">
        <f t="shared" si="24"/>
        <v>88.42358586276056</v>
      </c>
    </row>
    <row r="239" spans="1:9" ht="15.75">
      <c r="A239" s="27" t="s">
        <v>303</v>
      </c>
      <c r="B239" s="28" t="s">
        <v>205</v>
      </c>
      <c r="C239" s="28" t="s">
        <v>195</v>
      </c>
      <c r="D239" s="29"/>
      <c r="E239" s="30"/>
      <c r="F239" s="7">
        <f>F244+F264+F280+F258+F278+F240</f>
        <v>699786</v>
      </c>
      <c r="G239" s="7">
        <f>G244+G264+G280+G258+G278+G240</f>
        <v>859515</v>
      </c>
      <c r="H239" s="7">
        <f>H244+H264+H280+H258+H278+H240</f>
        <v>645921</v>
      </c>
      <c r="I239" s="154">
        <f t="shared" si="24"/>
        <v>75.14947383117223</v>
      </c>
    </row>
    <row r="240" spans="1:9" ht="15.75">
      <c r="A240" s="15" t="s">
        <v>187</v>
      </c>
      <c r="B240" s="21" t="s">
        <v>205</v>
      </c>
      <c r="C240" s="21" t="s">
        <v>195</v>
      </c>
      <c r="D240" s="21" t="s">
        <v>256</v>
      </c>
      <c r="E240" s="22"/>
      <c r="F240" s="6">
        <f aca="true" t="shared" si="25" ref="F240:H242">F241</f>
        <v>0</v>
      </c>
      <c r="G240" s="6">
        <f t="shared" si="25"/>
        <v>1780</v>
      </c>
      <c r="H240" s="6">
        <f t="shared" si="25"/>
        <v>1472</v>
      </c>
      <c r="I240" s="152">
        <f t="shared" si="24"/>
        <v>82.69662921348313</v>
      </c>
    </row>
    <row r="241" spans="1:9" ht="15.75">
      <c r="A241" s="12" t="s">
        <v>257</v>
      </c>
      <c r="B241" s="21" t="s">
        <v>205</v>
      </c>
      <c r="C241" s="21" t="s">
        <v>195</v>
      </c>
      <c r="D241" s="21" t="s">
        <v>258</v>
      </c>
      <c r="E241" s="22"/>
      <c r="F241" s="6">
        <f t="shared" si="25"/>
        <v>0</v>
      </c>
      <c r="G241" s="6">
        <f t="shared" si="25"/>
        <v>1780</v>
      </c>
      <c r="H241" s="6">
        <f t="shared" si="25"/>
        <v>1472</v>
      </c>
      <c r="I241" s="152">
        <f t="shared" si="24"/>
        <v>82.69662921348313</v>
      </c>
    </row>
    <row r="242" spans="1:9" ht="15.75">
      <c r="A242" s="32" t="s">
        <v>434</v>
      </c>
      <c r="B242" s="21" t="s">
        <v>205</v>
      </c>
      <c r="C242" s="21" t="s">
        <v>195</v>
      </c>
      <c r="D242" s="21" t="s">
        <v>259</v>
      </c>
      <c r="E242" s="22"/>
      <c r="F242" s="6">
        <f t="shared" si="25"/>
        <v>0</v>
      </c>
      <c r="G242" s="6">
        <f t="shared" si="25"/>
        <v>1780</v>
      </c>
      <c r="H242" s="6">
        <f t="shared" si="25"/>
        <v>1472</v>
      </c>
      <c r="I242" s="152">
        <f t="shared" si="24"/>
        <v>82.69662921348313</v>
      </c>
    </row>
    <row r="243" spans="1:9" ht="15.75">
      <c r="A243" s="20" t="s">
        <v>243</v>
      </c>
      <c r="B243" s="21" t="s">
        <v>205</v>
      </c>
      <c r="C243" s="21" t="s">
        <v>195</v>
      </c>
      <c r="D243" s="21" t="s">
        <v>260</v>
      </c>
      <c r="E243" s="19" t="s">
        <v>244</v>
      </c>
      <c r="F243" s="6">
        <v>0</v>
      </c>
      <c r="G243" s="6">
        <v>1780</v>
      </c>
      <c r="H243" s="6">
        <v>1472</v>
      </c>
      <c r="I243" s="152">
        <f t="shared" si="24"/>
        <v>82.69662921348313</v>
      </c>
    </row>
    <row r="244" spans="1:9" ht="32.25" customHeight="1">
      <c r="A244" s="15" t="s">
        <v>492</v>
      </c>
      <c r="B244" s="34" t="s">
        <v>205</v>
      </c>
      <c r="C244" s="34" t="s">
        <v>195</v>
      </c>
      <c r="D244" s="10" t="s">
        <v>493</v>
      </c>
      <c r="E244" s="25"/>
      <c r="F244" s="6">
        <f>F250+F245</f>
        <v>91766</v>
      </c>
      <c r="G244" s="6">
        <f>G250+G245</f>
        <v>254717</v>
      </c>
      <c r="H244" s="6">
        <f>H250+H245</f>
        <v>79815</v>
      </c>
      <c r="I244" s="152">
        <f t="shared" si="24"/>
        <v>31.3347754566833</v>
      </c>
    </row>
    <row r="245" spans="1:9" ht="66" customHeight="1">
      <c r="A245" s="15" t="s">
        <v>56</v>
      </c>
      <c r="B245" s="34" t="s">
        <v>205</v>
      </c>
      <c r="C245" s="34" t="s">
        <v>195</v>
      </c>
      <c r="D245" s="10" t="s">
        <v>57</v>
      </c>
      <c r="E245" s="25"/>
      <c r="F245" s="6">
        <f>F246+F248</f>
        <v>64057</v>
      </c>
      <c r="G245" s="6">
        <f>G246+G248</f>
        <v>218906</v>
      </c>
      <c r="H245" s="6">
        <f>H246+H248</f>
        <v>61276</v>
      </c>
      <c r="I245" s="152">
        <f t="shared" si="24"/>
        <v>27.99192347400254</v>
      </c>
    </row>
    <row r="246" spans="1:9" ht="31.5">
      <c r="A246" s="15" t="s">
        <v>58</v>
      </c>
      <c r="B246" s="34" t="s">
        <v>205</v>
      </c>
      <c r="C246" s="34" t="s">
        <v>195</v>
      </c>
      <c r="D246" s="10" t="s">
        <v>59</v>
      </c>
      <c r="E246" s="25"/>
      <c r="F246" s="6">
        <f>F247</f>
        <v>32350</v>
      </c>
      <c r="G246" s="6">
        <f>G247</f>
        <v>32350</v>
      </c>
      <c r="H246" s="6">
        <f>H247</f>
        <v>32350</v>
      </c>
      <c r="I246" s="152">
        <f t="shared" si="24"/>
        <v>100</v>
      </c>
    </row>
    <row r="247" spans="1:9" ht="15.75">
      <c r="A247" s="15" t="s">
        <v>269</v>
      </c>
      <c r="B247" s="34" t="s">
        <v>205</v>
      </c>
      <c r="C247" s="34" t="s">
        <v>195</v>
      </c>
      <c r="D247" s="10" t="s">
        <v>59</v>
      </c>
      <c r="E247" s="25" t="s">
        <v>270</v>
      </c>
      <c r="F247" s="6">
        <f>32350</f>
        <v>32350</v>
      </c>
      <c r="G247" s="6">
        <f>32350</f>
        <v>32350</v>
      </c>
      <c r="H247" s="6">
        <f>32350</f>
        <v>32350</v>
      </c>
      <c r="I247" s="152">
        <f t="shared" si="24"/>
        <v>100</v>
      </c>
    </row>
    <row r="248" spans="1:9" ht="31.5">
      <c r="A248" s="15" t="s">
        <v>53</v>
      </c>
      <c r="B248" s="34" t="s">
        <v>205</v>
      </c>
      <c r="C248" s="34" t="s">
        <v>195</v>
      </c>
      <c r="D248" s="10" t="s">
        <v>60</v>
      </c>
      <c r="E248" s="25"/>
      <c r="F248" s="6">
        <f>F249</f>
        <v>31707</v>
      </c>
      <c r="G248" s="6">
        <f>G249</f>
        <v>186556</v>
      </c>
      <c r="H248" s="6">
        <f>H249</f>
        <v>28926</v>
      </c>
      <c r="I248" s="152">
        <f t="shared" si="24"/>
        <v>15.505263834987886</v>
      </c>
    </row>
    <row r="249" spans="1:9" ht="15.75">
      <c r="A249" s="15" t="s">
        <v>309</v>
      </c>
      <c r="B249" s="34" t="s">
        <v>205</v>
      </c>
      <c r="C249" s="34" t="s">
        <v>195</v>
      </c>
      <c r="D249" s="10" t="s">
        <v>60</v>
      </c>
      <c r="E249" s="25" t="s">
        <v>310</v>
      </c>
      <c r="F249" s="6">
        <v>31707</v>
      </c>
      <c r="G249" s="6">
        <v>186556</v>
      </c>
      <c r="H249" s="6">
        <v>28926</v>
      </c>
      <c r="I249" s="152">
        <f t="shared" si="24"/>
        <v>15.505263834987886</v>
      </c>
    </row>
    <row r="250" spans="1:9" ht="47.25">
      <c r="A250" s="15" t="s">
        <v>494</v>
      </c>
      <c r="B250" s="34" t="s">
        <v>205</v>
      </c>
      <c r="C250" s="34" t="s">
        <v>195</v>
      </c>
      <c r="D250" s="10" t="s">
        <v>495</v>
      </c>
      <c r="E250" s="25"/>
      <c r="F250" s="6">
        <f>F251+F253+F256</f>
        <v>27709</v>
      </c>
      <c r="G250" s="6">
        <f>G251+G253+G256</f>
        <v>35811</v>
      </c>
      <c r="H250" s="6">
        <f>H251+H253+H256</f>
        <v>18539</v>
      </c>
      <c r="I250" s="152">
        <f t="shared" si="24"/>
        <v>51.76900952221385</v>
      </c>
    </row>
    <row r="251" spans="1:9" ht="31.5">
      <c r="A251" s="15" t="s">
        <v>501</v>
      </c>
      <c r="B251" s="34" t="s">
        <v>205</v>
      </c>
      <c r="C251" s="34" t="s">
        <v>195</v>
      </c>
      <c r="D251" s="10" t="s">
        <v>500</v>
      </c>
      <c r="E251" s="25"/>
      <c r="F251" s="6">
        <f>F252</f>
        <v>11070</v>
      </c>
      <c r="G251" s="6">
        <f>G252</f>
        <v>11070</v>
      </c>
      <c r="H251" s="6">
        <f>H252</f>
        <v>11070</v>
      </c>
      <c r="I251" s="152">
        <f t="shared" si="24"/>
        <v>100</v>
      </c>
    </row>
    <row r="252" spans="1:9" ht="15.75">
      <c r="A252" s="45" t="s">
        <v>269</v>
      </c>
      <c r="B252" s="34" t="s">
        <v>205</v>
      </c>
      <c r="C252" s="34" t="s">
        <v>195</v>
      </c>
      <c r="D252" s="10" t="s">
        <v>500</v>
      </c>
      <c r="E252" s="25" t="s">
        <v>270</v>
      </c>
      <c r="F252" s="6">
        <f>20000-13000+4900-830</f>
        <v>11070</v>
      </c>
      <c r="G252" s="6">
        <f>20000-13000+4900-830</f>
        <v>11070</v>
      </c>
      <c r="H252" s="6">
        <f>20000-13000+4900-830</f>
        <v>11070</v>
      </c>
      <c r="I252" s="152">
        <f t="shared" si="24"/>
        <v>100</v>
      </c>
    </row>
    <row r="253" spans="1:9" ht="31.5">
      <c r="A253" s="15" t="s">
        <v>53</v>
      </c>
      <c r="B253" s="34" t="s">
        <v>205</v>
      </c>
      <c r="C253" s="34" t="s">
        <v>195</v>
      </c>
      <c r="D253" s="10" t="s">
        <v>54</v>
      </c>
      <c r="E253" s="25"/>
      <c r="F253" s="6">
        <f>F254+F255</f>
        <v>16639</v>
      </c>
      <c r="G253" s="6">
        <f>G254+G255</f>
        <v>21741</v>
      </c>
      <c r="H253" s="6">
        <f>H254+H255</f>
        <v>5137</v>
      </c>
      <c r="I253" s="152">
        <f t="shared" si="24"/>
        <v>23.62816797755393</v>
      </c>
    </row>
    <row r="254" spans="1:9" ht="15.75">
      <c r="A254" s="15" t="s">
        <v>309</v>
      </c>
      <c r="B254" s="34" t="s">
        <v>205</v>
      </c>
      <c r="C254" s="34" t="s">
        <v>195</v>
      </c>
      <c r="D254" s="11" t="s">
        <v>54</v>
      </c>
      <c r="E254" s="22" t="s">
        <v>310</v>
      </c>
      <c r="F254" s="6">
        <f>19200+703-12000</f>
        <v>7903</v>
      </c>
      <c r="G254" s="6">
        <f>19200+703-12000</f>
        <v>7903</v>
      </c>
      <c r="H254" s="6">
        <v>4206</v>
      </c>
      <c r="I254" s="152">
        <f t="shared" si="24"/>
        <v>53.22029609009237</v>
      </c>
    </row>
    <row r="255" spans="1:9" ht="15.75">
      <c r="A255" s="26" t="s">
        <v>61</v>
      </c>
      <c r="B255" s="34" t="s">
        <v>205</v>
      </c>
      <c r="C255" s="34" t="s">
        <v>195</v>
      </c>
      <c r="D255" s="10" t="s">
        <v>54</v>
      </c>
      <c r="E255" s="25" t="s">
        <v>62</v>
      </c>
      <c r="F255" s="125">
        <f>1844+6892</f>
        <v>8736</v>
      </c>
      <c r="G255" s="125">
        <v>13838</v>
      </c>
      <c r="H255" s="125">
        <v>931</v>
      </c>
      <c r="I255" s="152">
        <f t="shared" si="24"/>
        <v>6.727850845497904</v>
      </c>
    </row>
    <row r="256" spans="1:9" ht="47.25">
      <c r="A256" s="15" t="s">
        <v>139</v>
      </c>
      <c r="B256" s="34" t="s">
        <v>205</v>
      </c>
      <c r="C256" s="34" t="s">
        <v>195</v>
      </c>
      <c r="D256" s="10" t="s">
        <v>138</v>
      </c>
      <c r="E256" s="25"/>
      <c r="F256" s="125">
        <f>F257</f>
        <v>0</v>
      </c>
      <c r="G256" s="125">
        <f>G257</f>
        <v>3000</v>
      </c>
      <c r="H256" s="125">
        <f>H257</f>
        <v>2332</v>
      </c>
      <c r="I256" s="152">
        <f t="shared" si="24"/>
        <v>77.73333333333333</v>
      </c>
    </row>
    <row r="257" spans="1:9" ht="15.75">
      <c r="A257" s="20" t="s">
        <v>243</v>
      </c>
      <c r="B257" s="34" t="s">
        <v>205</v>
      </c>
      <c r="C257" s="34" t="s">
        <v>195</v>
      </c>
      <c r="D257" s="10" t="s">
        <v>138</v>
      </c>
      <c r="E257" s="25" t="s">
        <v>244</v>
      </c>
      <c r="F257" s="125">
        <v>0</v>
      </c>
      <c r="G257" s="125">
        <v>3000</v>
      </c>
      <c r="H257" s="125">
        <v>2332</v>
      </c>
      <c r="I257" s="152">
        <f t="shared" si="24"/>
        <v>77.73333333333333</v>
      </c>
    </row>
    <row r="258" spans="1:9" ht="31.5">
      <c r="A258" s="15" t="s">
        <v>313</v>
      </c>
      <c r="B258" s="34" t="s">
        <v>205</v>
      </c>
      <c r="C258" s="34" t="s">
        <v>195</v>
      </c>
      <c r="D258" s="11" t="s">
        <v>314</v>
      </c>
      <c r="E258" s="22"/>
      <c r="F258" s="6">
        <f>F259</f>
        <v>6112</v>
      </c>
      <c r="G258" s="6">
        <f>G259</f>
        <v>11766</v>
      </c>
      <c r="H258" s="6">
        <f>H259</f>
        <v>6690</v>
      </c>
      <c r="I258" s="152">
        <f t="shared" si="24"/>
        <v>56.85874553799082</v>
      </c>
    </row>
    <row r="259" spans="1:9" ht="63">
      <c r="A259" s="70" t="s">
        <v>439</v>
      </c>
      <c r="B259" s="34" t="s">
        <v>205</v>
      </c>
      <c r="C259" s="34" t="s">
        <v>195</v>
      </c>
      <c r="D259" s="11" t="s">
        <v>441</v>
      </c>
      <c r="E259" s="22"/>
      <c r="F259" s="6">
        <f>F260+F262</f>
        <v>6112</v>
      </c>
      <c r="G259" s="6">
        <f>G260+G262</f>
        <v>11766</v>
      </c>
      <c r="H259" s="6">
        <f>H260+H262</f>
        <v>6690</v>
      </c>
      <c r="I259" s="152">
        <f t="shared" si="24"/>
        <v>56.85874553799082</v>
      </c>
    </row>
    <row r="260" spans="1:9" ht="31.5">
      <c r="A260" s="20" t="s">
        <v>440</v>
      </c>
      <c r="B260" s="34" t="s">
        <v>205</v>
      </c>
      <c r="C260" s="34" t="s">
        <v>195</v>
      </c>
      <c r="D260" s="11" t="s">
        <v>442</v>
      </c>
      <c r="E260" s="22"/>
      <c r="F260" s="6">
        <f>F261</f>
        <v>6112</v>
      </c>
      <c r="G260" s="6">
        <f>G261</f>
        <v>5887</v>
      </c>
      <c r="H260" s="6">
        <f>H261</f>
        <v>5884</v>
      </c>
      <c r="I260" s="152">
        <f t="shared" si="24"/>
        <v>99.94904025819602</v>
      </c>
    </row>
    <row r="261" spans="1:9" ht="15.75">
      <c r="A261" s="15" t="s">
        <v>309</v>
      </c>
      <c r="B261" s="34" t="s">
        <v>205</v>
      </c>
      <c r="C261" s="34" t="s">
        <v>195</v>
      </c>
      <c r="D261" s="11" t="s">
        <v>442</v>
      </c>
      <c r="E261" s="22" t="s">
        <v>310</v>
      </c>
      <c r="F261" s="6">
        <f>50000-35630-7827-1109+678</f>
        <v>6112</v>
      </c>
      <c r="G261" s="6">
        <v>5887</v>
      </c>
      <c r="H261" s="6">
        <v>5884</v>
      </c>
      <c r="I261" s="152">
        <f t="shared" si="24"/>
        <v>99.94904025819602</v>
      </c>
    </row>
    <row r="262" spans="1:9" ht="47.25">
      <c r="A262" s="15" t="s">
        <v>141</v>
      </c>
      <c r="B262" s="21" t="s">
        <v>205</v>
      </c>
      <c r="C262" s="34" t="s">
        <v>195</v>
      </c>
      <c r="D262" s="11" t="s">
        <v>140</v>
      </c>
      <c r="E262" s="22"/>
      <c r="F262" s="6">
        <f>F263</f>
        <v>0</v>
      </c>
      <c r="G262" s="6">
        <f>G263</f>
        <v>5879</v>
      </c>
      <c r="H262" s="6">
        <f>H263</f>
        <v>806</v>
      </c>
      <c r="I262" s="152">
        <f t="shared" si="24"/>
        <v>13.709814594318761</v>
      </c>
    </row>
    <row r="263" spans="1:9" ht="15.75">
      <c r="A263" s="15" t="s">
        <v>61</v>
      </c>
      <c r="B263" s="21" t="s">
        <v>205</v>
      </c>
      <c r="C263" s="34" t="s">
        <v>195</v>
      </c>
      <c r="D263" s="11" t="s">
        <v>140</v>
      </c>
      <c r="E263" s="22" t="s">
        <v>62</v>
      </c>
      <c r="F263" s="6">
        <v>0</v>
      </c>
      <c r="G263" s="6">
        <v>5879</v>
      </c>
      <c r="H263" s="6">
        <v>806</v>
      </c>
      <c r="I263" s="152">
        <f t="shared" si="24"/>
        <v>13.709814594318761</v>
      </c>
    </row>
    <row r="264" spans="1:9" ht="15.75">
      <c r="A264" s="15" t="s">
        <v>192</v>
      </c>
      <c r="B264" s="21" t="s">
        <v>205</v>
      </c>
      <c r="C264" s="21" t="s">
        <v>195</v>
      </c>
      <c r="D264" s="11" t="s">
        <v>304</v>
      </c>
      <c r="E264" s="31"/>
      <c r="F264" s="4">
        <f>F265+F268+F270+F274+F272+F276</f>
        <v>276986</v>
      </c>
      <c r="G264" s="4">
        <f>G265+G268+G270+G274+G272+G276</f>
        <v>266107</v>
      </c>
      <c r="H264" s="4">
        <f>H265+H268+H270+H274+H272+H276</f>
        <v>248061</v>
      </c>
      <c r="I264" s="152">
        <f t="shared" si="24"/>
        <v>93.21851736331625</v>
      </c>
    </row>
    <row r="265" spans="1:9" ht="32.25" customHeight="1">
      <c r="A265" s="12" t="s">
        <v>305</v>
      </c>
      <c r="B265" s="21" t="s">
        <v>205</v>
      </c>
      <c r="C265" s="21" t="s">
        <v>195</v>
      </c>
      <c r="D265" s="11" t="s">
        <v>306</v>
      </c>
      <c r="E265" s="22"/>
      <c r="F265" s="4">
        <f>F267+F266</f>
        <v>103025</v>
      </c>
      <c r="G265" s="4">
        <f>G267+G266</f>
        <v>92146</v>
      </c>
      <c r="H265" s="4">
        <f>H267+H266</f>
        <v>82378</v>
      </c>
      <c r="I265" s="152">
        <f t="shared" si="24"/>
        <v>89.3994313372257</v>
      </c>
    </row>
    <row r="266" spans="1:9" ht="15.75">
      <c r="A266" s="45" t="s">
        <v>269</v>
      </c>
      <c r="B266" s="17" t="s">
        <v>205</v>
      </c>
      <c r="C266" s="17" t="s">
        <v>195</v>
      </c>
      <c r="D266" s="18" t="s">
        <v>306</v>
      </c>
      <c r="E266" s="22" t="s">
        <v>270</v>
      </c>
      <c r="F266" s="4">
        <f>46780-19780+1000-415</f>
        <v>27585</v>
      </c>
      <c r="G266" s="4">
        <v>27541</v>
      </c>
      <c r="H266" s="4">
        <v>24682</v>
      </c>
      <c r="I266" s="152">
        <f t="shared" si="24"/>
        <v>89.61911332195636</v>
      </c>
    </row>
    <row r="267" spans="1:9" ht="15.75">
      <c r="A267" s="20" t="s">
        <v>243</v>
      </c>
      <c r="B267" s="17" t="s">
        <v>205</v>
      </c>
      <c r="C267" s="17" t="s">
        <v>195</v>
      </c>
      <c r="D267" s="18" t="s">
        <v>306</v>
      </c>
      <c r="E267" s="19" t="s">
        <v>244</v>
      </c>
      <c r="F267" s="4">
        <f>75440</f>
        <v>75440</v>
      </c>
      <c r="G267" s="4">
        <v>64605</v>
      </c>
      <c r="H267" s="4">
        <v>57696</v>
      </c>
      <c r="I267" s="152">
        <f t="shared" si="24"/>
        <v>89.30578128627815</v>
      </c>
    </row>
    <row r="268" spans="1:9" ht="15.75">
      <c r="A268" s="20" t="s">
        <v>425</v>
      </c>
      <c r="B268" s="17" t="s">
        <v>205</v>
      </c>
      <c r="C268" s="17" t="s">
        <v>195</v>
      </c>
      <c r="D268" s="18" t="s">
        <v>426</v>
      </c>
      <c r="E268" s="19"/>
      <c r="F268" s="4">
        <f>F269</f>
        <v>50963</v>
      </c>
      <c r="G268" s="4">
        <f>G269</f>
        <v>52581</v>
      </c>
      <c r="H268" s="4">
        <f>H269</f>
        <v>52355</v>
      </c>
      <c r="I268" s="152">
        <f t="shared" si="24"/>
        <v>99.57018694965862</v>
      </c>
    </row>
    <row r="269" spans="1:9" ht="15.75">
      <c r="A269" s="20" t="s">
        <v>243</v>
      </c>
      <c r="B269" s="17" t="s">
        <v>205</v>
      </c>
      <c r="C269" s="17" t="s">
        <v>195</v>
      </c>
      <c r="D269" s="18" t="s">
        <v>426</v>
      </c>
      <c r="E269" s="19" t="s">
        <v>244</v>
      </c>
      <c r="F269" s="4">
        <f>13000+25895+4000+8068</f>
        <v>50963</v>
      </c>
      <c r="G269" s="4">
        <v>52581</v>
      </c>
      <c r="H269" s="4">
        <v>52355</v>
      </c>
      <c r="I269" s="152">
        <f t="shared" si="24"/>
        <v>99.57018694965862</v>
      </c>
    </row>
    <row r="270" spans="1:9" ht="49.5" customHeight="1">
      <c r="A270" s="45" t="s">
        <v>617</v>
      </c>
      <c r="B270" s="17" t="s">
        <v>205</v>
      </c>
      <c r="C270" s="17" t="s">
        <v>195</v>
      </c>
      <c r="D270" s="18" t="s">
        <v>604</v>
      </c>
      <c r="E270" s="19"/>
      <c r="F270" s="104">
        <f>F271</f>
        <v>38500</v>
      </c>
      <c r="G270" s="104">
        <f>G271</f>
        <v>38500</v>
      </c>
      <c r="H270" s="104">
        <f>H271</f>
        <v>35346</v>
      </c>
      <c r="I270" s="152">
        <f t="shared" si="24"/>
        <v>91.8077922077922</v>
      </c>
    </row>
    <row r="271" spans="1:9" ht="15.75">
      <c r="A271" s="20" t="s">
        <v>243</v>
      </c>
      <c r="B271" s="17" t="s">
        <v>205</v>
      </c>
      <c r="C271" s="17" t="s">
        <v>195</v>
      </c>
      <c r="D271" s="18" t="s">
        <v>605</v>
      </c>
      <c r="E271" s="19" t="s">
        <v>244</v>
      </c>
      <c r="F271" s="104">
        <f>10000+16000+11500+1000</f>
        <v>38500</v>
      </c>
      <c r="G271" s="104">
        <f>10000+16000+11500+1000</f>
        <v>38500</v>
      </c>
      <c r="H271" s="104">
        <v>35346</v>
      </c>
      <c r="I271" s="152">
        <f t="shared" si="24"/>
        <v>91.8077922077922</v>
      </c>
    </row>
    <row r="272" spans="1:9" ht="49.5" customHeight="1">
      <c r="A272" s="20" t="s">
        <v>15</v>
      </c>
      <c r="B272" s="17" t="s">
        <v>205</v>
      </c>
      <c r="C272" s="17" t="s">
        <v>195</v>
      </c>
      <c r="D272" s="18" t="s">
        <v>13</v>
      </c>
      <c r="E272" s="19"/>
      <c r="F272" s="104">
        <f>F273</f>
        <v>64280</v>
      </c>
      <c r="G272" s="104">
        <f>G273</f>
        <v>64280</v>
      </c>
      <c r="H272" s="104">
        <f>H273</f>
        <v>60738</v>
      </c>
      <c r="I272" s="152">
        <f t="shared" si="24"/>
        <v>94.4897324206596</v>
      </c>
    </row>
    <row r="273" spans="1:9" ht="15.75">
      <c r="A273" s="45" t="s">
        <v>269</v>
      </c>
      <c r="B273" s="17" t="s">
        <v>205</v>
      </c>
      <c r="C273" s="17" t="s">
        <v>195</v>
      </c>
      <c r="D273" s="18" t="s">
        <v>14</v>
      </c>
      <c r="E273" s="19" t="s">
        <v>270</v>
      </c>
      <c r="F273" s="104">
        <f>16780+47500</f>
        <v>64280</v>
      </c>
      <c r="G273" s="104">
        <f>16780+47500</f>
        <v>64280</v>
      </c>
      <c r="H273" s="104">
        <v>60738</v>
      </c>
      <c r="I273" s="152">
        <f t="shared" si="24"/>
        <v>94.4897324206596</v>
      </c>
    </row>
    <row r="274" spans="1:9" ht="16.5" customHeight="1">
      <c r="A274" s="20" t="s">
        <v>626</v>
      </c>
      <c r="B274" s="17" t="s">
        <v>205</v>
      </c>
      <c r="C274" s="17" t="s">
        <v>195</v>
      </c>
      <c r="D274" s="18" t="s">
        <v>0</v>
      </c>
      <c r="E274" s="19"/>
      <c r="F274" s="115">
        <f>F275</f>
        <v>10478</v>
      </c>
      <c r="G274" s="115">
        <f>G275</f>
        <v>10478</v>
      </c>
      <c r="H274" s="115">
        <f>H275</f>
        <v>10477</v>
      </c>
      <c r="I274" s="152">
        <f t="shared" si="24"/>
        <v>99.99045619393014</v>
      </c>
    </row>
    <row r="275" spans="1:9" ht="15.75">
      <c r="A275" s="20" t="s">
        <v>243</v>
      </c>
      <c r="B275" s="17" t="s">
        <v>205</v>
      </c>
      <c r="C275" s="17" t="s">
        <v>195</v>
      </c>
      <c r="D275" s="18" t="s">
        <v>0</v>
      </c>
      <c r="E275" s="19" t="s">
        <v>244</v>
      </c>
      <c r="F275" s="115">
        <f>10000+478</f>
        <v>10478</v>
      </c>
      <c r="G275" s="115">
        <f>10000+478</f>
        <v>10478</v>
      </c>
      <c r="H275" s="115">
        <v>10477</v>
      </c>
      <c r="I275" s="152">
        <f t="shared" si="24"/>
        <v>99.99045619393014</v>
      </c>
    </row>
    <row r="276" spans="1:9" ht="63">
      <c r="A276" s="20" t="s">
        <v>16</v>
      </c>
      <c r="B276" s="17" t="s">
        <v>205</v>
      </c>
      <c r="C276" s="17" t="s">
        <v>195</v>
      </c>
      <c r="D276" s="18" t="s">
        <v>17</v>
      </c>
      <c r="E276" s="19"/>
      <c r="F276" s="115">
        <f>F277</f>
        <v>9740</v>
      </c>
      <c r="G276" s="115">
        <f>G277</f>
        <v>8122</v>
      </c>
      <c r="H276" s="115">
        <f>H277</f>
        <v>6767</v>
      </c>
      <c r="I276" s="152">
        <f t="shared" si="24"/>
        <v>83.31691701551343</v>
      </c>
    </row>
    <row r="277" spans="1:9" ht="15.75">
      <c r="A277" s="20" t="s">
        <v>243</v>
      </c>
      <c r="B277" s="17" t="s">
        <v>205</v>
      </c>
      <c r="C277" s="17" t="s">
        <v>195</v>
      </c>
      <c r="D277" s="18" t="s">
        <v>17</v>
      </c>
      <c r="E277" s="19" t="s">
        <v>244</v>
      </c>
      <c r="F277" s="115">
        <f>3000+6000+740</f>
        <v>9740</v>
      </c>
      <c r="G277" s="115">
        <v>8122</v>
      </c>
      <c r="H277" s="115">
        <v>6767</v>
      </c>
      <c r="I277" s="152">
        <f t="shared" si="24"/>
        <v>83.31691701551343</v>
      </c>
    </row>
    <row r="278" spans="1:9" ht="31.5">
      <c r="A278" s="45" t="s">
        <v>46</v>
      </c>
      <c r="B278" s="23" t="s">
        <v>205</v>
      </c>
      <c r="C278" s="23" t="s">
        <v>195</v>
      </c>
      <c r="D278" s="23" t="s">
        <v>47</v>
      </c>
      <c r="E278" s="16"/>
      <c r="F278" s="115">
        <f>F279</f>
        <v>15800</v>
      </c>
      <c r="G278" s="115">
        <f>G279</f>
        <v>15800</v>
      </c>
      <c r="H278" s="115">
        <f>H279</f>
        <v>15799</v>
      </c>
      <c r="I278" s="152">
        <f t="shared" si="24"/>
        <v>99.99367088607595</v>
      </c>
    </row>
    <row r="279" spans="1:9" ht="15.75">
      <c r="A279" s="45" t="s">
        <v>93</v>
      </c>
      <c r="B279" s="23" t="s">
        <v>205</v>
      </c>
      <c r="C279" s="23" t="s">
        <v>195</v>
      </c>
      <c r="D279" s="23" t="s">
        <v>47</v>
      </c>
      <c r="E279" s="16" t="s">
        <v>92</v>
      </c>
      <c r="F279" s="115">
        <f>6300+9500</f>
        <v>15800</v>
      </c>
      <c r="G279" s="115">
        <f>6300+9500</f>
        <v>15800</v>
      </c>
      <c r="H279" s="115">
        <v>15799</v>
      </c>
      <c r="I279" s="152">
        <f t="shared" si="24"/>
        <v>99.99367088607595</v>
      </c>
    </row>
    <row r="280" spans="1:9" ht="15.75">
      <c r="A280" s="9" t="s">
        <v>230</v>
      </c>
      <c r="B280" s="21" t="s">
        <v>205</v>
      </c>
      <c r="C280" s="21" t="s">
        <v>195</v>
      </c>
      <c r="D280" s="11" t="s">
        <v>286</v>
      </c>
      <c r="E280" s="22"/>
      <c r="F280" s="4">
        <f>F291+F285+F287++F283+F281+F289</f>
        <v>309122</v>
      </c>
      <c r="G280" s="4">
        <f>G291+G285+G287++G283+G281+G289</f>
        <v>309345</v>
      </c>
      <c r="H280" s="4">
        <f>H291+H285+H287++H283+H281+H289</f>
        <v>294084</v>
      </c>
      <c r="I280" s="152">
        <f t="shared" si="24"/>
        <v>95.06667313194008</v>
      </c>
    </row>
    <row r="281" spans="1:9" ht="47.25" hidden="1">
      <c r="A281" s="45" t="s">
        <v>512</v>
      </c>
      <c r="B281" s="21" t="s">
        <v>205</v>
      </c>
      <c r="C281" s="21" t="s">
        <v>195</v>
      </c>
      <c r="D281" s="11" t="s">
        <v>311</v>
      </c>
      <c r="E281" s="22"/>
      <c r="F281" s="117">
        <f>F282</f>
        <v>140</v>
      </c>
      <c r="G281" s="117">
        <f>G282</f>
        <v>0</v>
      </c>
      <c r="H281" s="117">
        <f>H282</f>
        <v>0</v>
      </c>
      <c r="I281" s="152">
        <v>0</v>
      </c>
    </row>
    <row r="282" spans="1:9" ht="15.75" hidden="1">
      <c r="A282" s="20" t="s">
        <v>243</v>
      </c>
      <c r="B282" s="21" t="s">
        <v>205</v>
      </c>
      <c r="C282" s="21" t="s">
        <v>195</v>
      </c>
      <c r="D282" s="11" t="s">
        <v>311</v>
      </c>
      <c r="E282" s="22" t="s">
        <v>244</v>
      </c>
      <c r="F282" s="117">
        <f>590-450</f>
        <v>140</v>
      </c>
      <c r="G282" s="117">
        <v>0</v>
      </c>
      <c r="H282" s="117">
        <v>0</v>
      </c>
      <c r="I282" s="152">
        <v>0</v>
      </c>
    </row>
    <row r="283" spans="1:16" s="122" customFormat="1" ht="47.25">
      <c r="A283" s="45" t="s">
        <v>3</v>
      </c>
      <c r="B283" s="23" t="s">
        <v>205</v>
      </c>
      <c r="C283" s="23" t="s">
        <v>195</v>
      </c>
      <c r="D283" s="23" t="s">
        <v>555</v>
      </c>
      <c r="E283" s="16"/>
      <c r="F283" s="105">
        <f>F284</f>
        <v>13848</v>
      </c>
      <c r="G283" s="105">
        <f>G284</f>
        <v>14211</v>
      </c>
      <c r="H283" s="105">
        <f>H284</f>
        <v>9753</v>
      </c>
      <c r="I283" s="152">
        <f t="shared" si="24"/>
        <v>68.62993455773696</v>
      </c>
      <c r="J283" s="120"/>
      <c r="K283" s="120"/>
      <c r="L283" s="120"/>
      <c r="M283" s="120"/>
      <c r="N283" s="120"/>
      <c r="O283" s="120"/>
      <c r="P283" s="120"/>
    </row>
    <row r="284" spans="1:16" s="122" customFormat="1" ht="15.75">
      <c r="A284" s="20" t="s">
        <v>243</v>
      </c>
      <c r="B284" s="23" t="s">
        <v>205</v>
      </c>
      <c r="C284" s="23" t="s">
        <v>195</v>
      </c>
      <c r="D284" s="23" t="s">
        <v>555</v>
      </c>
      <c r="E284" s="16" t="s">
        <v>244</v>
      </c>
      <c r="F284" s="105">
        <f>26348-8000-4500</f>
        <v>13848</v>
      </c>
      <c r="G284" s="105">
        <v>14211</v>
      </c>
      <c r="H284" s="105">
        <v>9753</v>
      </c>
      <c r="I284" s="152">
        <f t="shared" si="24"/>
        <v>68.62993455773696</v>
      </c>
      <c r="J284" s="120"/>
      <c r="K284" s="120"/>
      <c r="L284" s="120"/>
      <c r="M284" s="120"/>
      <c r="N284" s="120"/>
      <c r="O284" s="120"/>
      <c r="P284" s="120"/>
    </row>
    <row r="285" spans="1:9" ht="32.25" customHeight="1">
      <c r="A285" s="20" t="s">
        <v>618</v>
      </c>
      <c r="B285" s="17" t="s">
        <v>205</v>
      </c>
      <c r="C285" s="17" t="s">
        <v>195</v>
      </c>
      <c r="D285" s="18" t="s">
        <v>588</v>
      </c>
      <c r="E285" s="19"/>
      <c r="F285" s="24">
        <f>F286</f>
        <v>230684</v>
      </c>
      <c r="G285" s="24">
        <f>G286</f>
        <v>230684</v>
      </c>
      <c r="H285" s="24">
        <f>H286</f>
        <v>228841</v>
      </c>
      <c r="I285" s="152">
        <f t="shared" si="24"/>
        <v>99.20107159577604</v>
      </c>
    </row>
    <row r="286" spans="1:9" ht="15.75">
      <c r="A286" s="26" t="s">
        <v>309</v>
      </c>
      <c r="B286" s="17" t="s">
        <v>205</v>
      </c>
      <c r="C286" s="17" t="s">
        <v>195</v>
      </c>
      <c r="D286" s="18" t="s">
        <v>588</v>
      </c>
      <c r="E286" s="19" t="s">
        <v>310</v>
      </c>
      <c r="F286" s="24">
        <f>138000+66160-10800-32800+34906+15218+20000</f>
        <v>230684</v>
      </c>
      <c r="G286" s="24">
        <f>138000+66160-10800-32800+34906+15218+20000</f>
        <v>230684</v>
      </c>
      <c r="H286" s="24">
        <v>228841</v>
      </c>
      <c r="I286" s="152">
        <f t="shared" si="24"/>
        <v>99.20107159577604</v>
      </c>
    </row>
    <row r="287" spans="1:9" ht="49.5" customHeight="1">
      <c r="A287" s="20" t="s">
        <v>603</v>
      </c>
      <c r="B287" s="17" t="s">
        <v>205</v>
      </c>
      <c r="C287" s="17" t="s">
        <v>195</v>
      </c>
      <c r="D287" s="18" t="s">
        <v>590</v>
      </c>
      <c r="E287" s="19"/>
      <c r="F287" s="24">
        <f>F288</f>
        <v>500</v>
      </c>
      <c r="G287" s="24">
        <f>G288</f>
        <v>500</v>
      </c>
      <c r="H287" s="24">
        <f>H288</f>
        <v>200</v>
      </c>
      <c r="I287" s="152">
        <f t="shared" si="24"/>
        <v>40</v>
      </c>
    </row>
    <row r="288" spans="1:9" ht="15.75">
      <c r="A288" s="20" t="s">
        <v>243</v>
      </c>
      <c r="B288" s="17" t="s">
        <v>205</v>
      </c>
      <c r="C288" s="17" t="s">
        <v>195</v>
      </c>
      <c r="D288" s="18" t="s">
        <v>590</v>
      </c>
      <c r="E288" s="19" t="s">
        <v>244</v>
      </c>
      <c r="F288" s="24">
        <f>20000-10000-6000-3500</f>
        <v>500</v>
      </c>
      <c r="G288" s="24">
        <f>20000-10000-6000-3500</f>
        <v>500</v>
      </c>
      <c r="H288" s="24">
        <v>200</v>
      </c>
      <c r="I288" s="152">
        <f t="shared" si="24"/>
        <v>40</v>
      </c>
    </row>
    <row r="289" spans="1:9" ht="32.25" customHeight="1">
      <c r="A289" s="45" t="s">
        <v>553</v>
      </c>
      <c r="B289" s="17" t="s">
        <v>205</v>
      </c>
      <c r="C289" s="17" t="s">
        <v>195</v>
      </c>
      <c r="D289" s="18" t="s">
        <v>554</v>
      </c>
      <c r="E289" s="19"/>
      <c r="F289" s="24">
        <f>F290</f>
        <v>1950</v>
      </c>
      <c r="G289" s="24">
        <f>G290</f>
        <v>1950</v>
      </c>
      <c r="H289" s="24">
        <f>H290</f>
        <v>1456</v>
      </c>
      <c r="I289" s="152">
        <f t="shared" si="24"/>
        <v>74.66666666666667</v>
      </c>
    </row>
    <row r="290" spans="1:9" ht="15.75">
      <c r="A290" s="20" t="s">
        <v>243</v>
      </c>
      <c r="B290" s="17" t="s">
        <v>205</v>
      </c>
      <c r="C290" s="17" t="s">
        <v>195</v>
      </c>
      <c r="D290" s="18" t="s">
        <v>554</v>
      </c>
      <c r="E290" s="19" t="s">
        <v>244</v>
      </c>
      <c r="F290" s="24">
        <f>2000-50</f>
        <v>1950</v>
      </c>
      <c r="G290" s="24">
        <f>2000-50</f>
        <v>1950</v>
      </c>
      <c r="H290" s="24">
        <v>1456</v>
      </c>
      <c r="I290" s="152">
        <f t="shared" si="24"/>
        <v>74.66666666666667</v>
      </c>
    </row>
    <row r="291" spans="1:9" ht="47.25">
      <c r="A291" s="20" t="s">
        <v>558</v>
      </c>
      <c r="B291" s="17" t="s">
        <v>205</v>
      </c>
      <c r="C291" s="17" t="s">
        <v>195</v>
      </c>
      <c r="D291" s="18" t="s">
        <v>557</v>
      </c>
      <c r="E291" s="19"/>
      <c r="F291" s="104">
        <f>F292</f>
        <v>62000</v>
      </c>
      <c r="G291" s="104">
        <f>G292</f>
        <v>62000</v>
      </c>
      <c r="H291" s="104">
        <f>H292</f>
        <v>53834</v>
      </c>
      <c r="I291" s="152">
        <f t="shared" si="24"/>
        <v>86.82903225806452</v>
      </c>
    </row>
    <row r="292" spans="1:9" ht="15.75">
      <c r="A292" s="45" t="s">
        <v>269</v>
      </c>
      <c r="B292" s="17" t="s">
        <v>205</v>
      </c>
      <c r="C292" s="17" t="s">
        <v>195</v>
      </c>
      <c r="D292" s="18" t="s">
        <v>557</v>
      </c>
      <c r="E292" s="19" t="s">
        <v>270</v>
      </c>
      <c r="F292" s="104">
        <f>70000-8000</f>
        <v>62000</v>
      </c>
      <c r="G292" s="104">
        <f>70000-8000</f>
        <v>62000</v>
      </c>
      <c r="H292" s="104">
        <v>53834</v>
      </c>
      <c r="I292" s="152">
        <f t="shared" si="24"/>
        <v>86.82903225806452</v>
      </c>
    </row>
    <row r="293" spans="1:9" ht="12" customHeight="1">
      <c r="A293" s="12"/>
      <c r="B293" s="21"/>
      <c r="C293" s="21"/>
      <c r="D293" s="50"/>
      <c r="E293" s="51"/>
      <c r="F293" s="13"/>
      <c r="G293" s="13"/>
      <c r="H293" s="13"/>
      <c r="I293" s="152"/>
    </row>
    <row r="294" spans="1:9" ht="15.75">
      <c r="A294" s="27" t="s">
        <v>312</v>
      </c>
      <c r="B294" s="28" t="s">
        <v>205</v>
      </c>
      <c r="C294" s="28" t="s">
        <v>196</v>
      </c>
      <c r="D294" s="35"/>
      <c r="E294" s="36"/>
      <c r="F294" s="7">
        <f>F295+F299+F320+F306+F309</f>
        <v>243399</v>
      </c>
      <c r="G294" s="7">
        <f>G295+G299+G320+G306+G309</f>
        <v>393928</v>
      </c>
      <c r="H294" s="7">
        <f>H295+H299+H320+H306+H309</f>
        <v>389469</v>
      </c>
      <c r="I294" s="154">
        <f aca="true" t="shared" si="26" ref="I294:I354">H294/G294*100</f>
        <v>98.86806726102232</v>
      </c>
    </row>
    <row r="295" spans="1:9" ht="31.5">
      <c r="A295" s="15" t="s">
        <v>313</v>
      </c>
      <c r="B295" s="21" t="s">
        <v>205</v>
      </c>
      <c r="C295" s="21" t="s">
        <v>196</v>
      </c>
      <c r="D295" s="11" t="s">
        <v>314</v>
      </c>
      <c r="E295" s="22"/>
      <c r="F295" s="4">
        <f aca="true" t="shared" si="27" ref="F295:H297">F296</f>
        <v>34969</v>
      </c>
      <c r="G295" s="4">
        <f t="shared" si="27"/>
        <v>34964</v>
      </c>
      <c r="H295" s="4">
        <f t="shared" si="27"/>
        <v>34134</v>
      </c>
      <c r="I295" s="152">
        <f t="shared" si="26"/>
        <v>97.62612973344011</v>
      </c>
    </row>
    <row r="296" spans="1:9" ht="63">
      <c r="A296" s="70" t="s">
        <v>439</v>
      </c>
      <c r="B296" s="21" t="s">
        <v>205</v>
      </c>
      <c r="C296" s="21" t="s">
        <v>196</v>
      </c>
      <c r="D296" s="11" t="s">
        <v>441</v>
      </c>
      <c r="E296" s="22"/>
      <c r="F296" s="4">
        <f t="shared" si="27"/>
        <v>34969</v>
      </c>
      <c r="G296" s="4">
        <f t="shared" si="27"/>
        <v>34964</v>
      </c>
      <c r="H296" s="4">
        <f t="shared" si="27"/>
        <v>34134</v>
      </c>
      <c r="I296" s="152">
        <f t="shared" si="26"/>
        <v>97.62612973344011</v>
      </c>
    </row>
    <row r="297" spans="1:9" ht="31.5">
      <c r="A297" s="20" t="s">
        <v>440</v>
      </c>
      <c r="B297" s="21" t="s">
        <v>205</v>
      </c>
      <c r="C297" s="21" t="s">
        <v>196</v>
      </c>
      <c r="D297" s="11" t="s">
        <v>442</v>
      </c>
      <c r="E297" s="22"/>
      <c r="F297" s="4">
        <f t="shared" si="27"/>
        <v>34969</v>
      </c>
      <c r="G297" s="4">
        <f t="shared" si="27"/>
        <v>34964</v>
      </c>
      <c r="H297" s="4">
        <f t="shared" si="27"/>
        <v>34134</v>
      </c>
      <c r="I297" s="152">
        <f t="shared" si="26"/>
        <v>97.62612973344011</v>
      </c>
    </row>
    <row r="298" spans="1:9" ht="15.75">
      <c r="A298" s="15" t="s">
        <v>309</v>
      </c>
      <c r="B298" s="21" t="s">
        <v>205</v>
      </c>
      <c r="C298" s="21" t="s">
        <v>196</v>
      </c>
      <c r="D298" s="11" t="s">
        <v>442</v>
      </c>
      <c r="E298" s="22" t="s">
        <v>310</v>
      </c>
      <c r="F298" s="4">
        <f>103437-4100-25000+17500-12827-4793+485+840+45+1500-343-24800-16975</f>
        <v>34969</v>
      </c>
      <c r="G298" s="4">
        <v>34964</v>
      </c>
      <c r="H298" s="4">
        <v>34134</v>
      </c>
      <c r="I298" s="152">
        <f t="shared" si="26"/>
        <v>97.62612973344011</v>
      </c>
    </row>
    <row r="299" spans="1:9" ht="16.5" customHeight="1">
      <c r="A299" s="15" t="s">
        <v>193</v>
      </c>
      <c r="B299" s="21" t="s">
        <v>205</v>
      </c>
      <c r="C299" s="21" t="s">
        <v>196</v>
      </c>
      <c r="D299" s="11" t="s">
        <v>315</v>
      </c>
      <c r="E299" s="22"/>
      <c r="F299" s="4">
        <f>F300+F302+F304</f>
        <v>113186</v>
      </c>
      <c r="G299" s="4">
        <f>G300+G302+G304</f>
        <v>113186</v>
      </c>
      <c r="H299" s="4">
        <f>H300+H302+H304</f>
        <v>110001</v>
      </c>
      <c r="I299" s="152">
        <f t="shared" si="26"/>
        <v>97.18604774442069</v>
      </c>
    </row>
    <row r="300" spans="1:9" ht="15.75">
      <c r="A300" s="12" t="s">
        <v>217</v>
      </c>
      <c r="B300" s="21" t="s">
        <v>205</v>
      </c>
      <c r="C300" s="21" t="s">
        <v>196</v>
      </c>
      <c r="D300" s="11" t="s">
        <v>317</v>
      </c>
      <c r="E300" s="22"/>
      <c r="F300" s="4">
        <f>F301</f>
        <v>69000</v>
      </c>
      <c r="G300" s="4">
        <f>G301</f>
        <v>69000</v>
      </c>
      <c r="H300" s="4">
        <f>H301</f>
        <v>65815</v>
      </c>
      <c r="I300" s="152">
        <f t="shared" si="26"/>
        <v>95.38405797101449</v>
      </c>
    </row>
    <row r="301" spans="1:9" ht="15.75">
      <c r="A301" s="20" t="s">
        <v>243</v>
      </c>
      <c r="B301" s="21" t="s">
        <v>318</v>
      </c>
      <c r="C301" s="21" t="s">
        <v>196</v>
      </c>
      <c r="D301" s="11" t="s">
        <v>317</v>
      </c>
      <c r="E301" s="22" t="s">
        <v>244</v>
      </c>
      <c r="F301" s="4">
        <f>76000-4000-3000</f>
        <v>69000</v>
      </c>
      <c r="G301" s="4">
        <f>76000-4000-3000</f>
        <v>69000</v>
      </c>
      <c r="H301" s="4">
        <v>65815</v>
      </c>
      <c r="I301" s="152">
        <f t="shared" si="26"/>
        <v>95.38405797101449</v>
      </c>
    </row>
    <row r="302" spans="1:9" ht="47.25">
      <c r="A302" s="45" t="s">
        <v>482</v>
      </c>
      <c r="B302" s="17" t="s">
        <v>205</v>
      </c>
      <c r="C302" s="17" t="s">
        <v>196</v>
      </c>
      <c r="D302" s="18" t="s">
        <v>316</v>
      </c>
      <c r="E302" s="19"/>
      <c r="F302" s="4">
        <f>F303</f>
        <v>39440</v>
      </c>
      <c r="G302" s="4">
        <f>G303</f>
        <v>39440</v>
      </c>
      <c r="H302" s="4">
        <f>H303</f>
        <v>39440</v>
      </c>
      <c r="I302" s="152">
        <f t="shared" si="26"/>
        <v>100</v>
      </c>
    </row>
    <row r="303" spans="1:9" ht="15.75">
      <c r="A303" s="45" t="s">
        <v>269</v>
      </c>
      <c r="B303" s="23" t="s">
        <v>205</v>
      </c>
      <c r="C303" s="23" t="s">
        <v>196</v>
      </c>
      <c r="D303" s="23" t="s">
        <v>316</v>
      </c>
      <c r="E303" s="16" t="s">
        <v>270</v>
      </c>
      <c r="F303" s="6">
        <f>44300-8000+4140-1000</f>
        <v>39440</v>
      </c>
      <c r="G303" s="6">
        <f>44300-8000+4140-1000</f>
        <v>39440</v>
      </c>
      <c r="H303" s="6">
        <f>44300-8000+4140-1000</f>
        <v>39440</v>
      </c>
      <c r="I303" s="152">
        <f t="shared" si="26"/>
        <v>100</v>
      </c>
    </row>
    <row r="304" spans="1:9" ht="31.5">
      <c r="A304" s="45" t="s">
        <v>483</v>
      </c>
      <c r="B304" s="23" t="s">
        <v>205</v>
      </c>
      <c r="C304" s="23" t="s">
        <v>196</v>
      </c>
      <c r="D304" s="23" t="s">
        <v>418</v>
      </c>
      <c r="E304" s="16"/>
      <c r="F304" s="80">
        <f>F305</f>
        <v>4746</v>
      </c>
      <c r="G304" s="80">
        <f>G305</f>
        <v>4746</v>
      </c>
      <c r="H304" s="80">
        <f>H305</f>
        <v>4746</v>
      </c>
      <c r="I304" s="152">
        <f t="shared" si="26"/>
        <v>100</v>
      </c>
    </row>
    <row r="305" spans="1:9" ht="15.75">
      <c r="A305" s="45" t="s">
        <v>269</v>
      </c>
      <c r="B305" s="23" t="s">
        <v>205</v>
      </c>
      <c r="C305" s="23" t="s">
        <v>196</v>
      </c>
      <c r="D305" s="23" t="s">
        <v>418</v>
      </c>
      <c r="E305" s="16" t="s">
        <v>270</v>
      </c>
      <c r="F305" s="80">
        <f>9600-1464-3390</f>
        <v>4746</v>
      </c>
      <c r="G305" s="80">
        <f>9600-1464-3390</f>
        <v>4746</v>
      </c>
      <c r="H305" s="80">
        <f>9600-1464-3390</f>
        <v>4746</v>
      </c>
      <c r="I305" s="152">
        <f t="shared" si="26"/>
        <v>100</v>
      </c>
    </row>
    <row r="306" spans="1:9" ht="31.5">
      <c r="A306" s="45" t="s">
        <v>46</v>
      </c>
      <c r="B306" s="23" t="s">
        <v>205</v>
      </c>
      <c r="C306" s="23" t="s">
        <v>196</v>
      </c>
      <c r="D306" s="23" t="s">
        <v>47</v>
      </c>
      <c r="E306" s="16"/>
      <c r="F306" s="80">
        <f>F307+F308</f>
        <v>63000</v>
      </c>
      <c r="G306" s="80">
        <f>G307+G308</f>
        <v>63000</v>
      </c>
      <c r="H306" s="80">
        <f>H307+H308</f>
        <v>63000</v>
      </c>
      <c r="I306" s="152">
        <f t="shared" si="26"/>
        <v>100</v>
      </c>
    </row>
    <row r="307" spans="1:9" ht="15.75">
      <c r="A307" s="45" t="s">
        <v>48</v>
      </c>
      <c r="B307" s="23" t="s">
        <v>205</v>
      </c>
      <c r="C307" s="23" t="s">
        <v>196</v>
      </c>
      <c r="D307" s="23" t="s">
        <v>47</v>
      </c>
      <c r="E307" s="16" t="s">
        <v>49</v>
      </c>
      <c r="F307" s="80">
        <f>36000+12000</f>
        <v>48000</v>
      </c>
      <c r="G307" s="80">
        <f>36000+12000</f>
        <v>48000</v>
      </c>
      <c r="H307" s="80">
        <f>36000+12000</f>
        <v>48000</v>
      </c>
      <c r="I307" s="152">
        <f t="shared" si="26"/>
        <v>100</v>
      </c>
    </row>
    <row r="308" spans="1:9" ht="15.75">
      <c r="A308" s="45" t="s">
        <v>51</v>
      </c>
      <c r="B308" s="23" t="s">
        <v>205</v>
      </c>
      <c r="C308" s="23" t="s">
        <v>196</v>
      </c>
      <c r="D308" s="23" t="s">
        <v>47</v>
      </c>
      <c r="E308" s="16" t="s">
        <v>50</v>
      </c>
      <c r="F308" s="80">
        <v>15000</v>
      </c>
      <c r="G308" s="80">
        <v>15000</v>
      </c>
      <c r="H308" s="80">
        <v>15000</v>
      </c>
      <c r="I308" s="152">
        <f t="shared" si="26"/>
        <v>100</v>
      </c>
    </row>
    <row r="309" spans="1:9" ht="15.75">
      <c r="A309" s="15" t="s">
        <v>250</v>
      </c>
      <c r="B309" s="21" t="s">
        <v>205</v>
      </c>
      <c r="C309" s="21" t="s">
        <v>196</v>
      </c>
      <c r="D309" s="11" t="s">
        <v>424</v>
      </c>
      <c r="E309" s="22"/>
      <c r="F309" s="4">
        <f>F313+F310</f>
        <v>29628</v>
      </c>
      <c r="G309" s="4">
        <f>G313+G310</f>
        <v>180525</v>
      </c>
      <c r="H309" s="4">
        <f>H313+H310</f>
        <v>180097</v>
      </c>
      <c r="I309" s="152">
        <f t="shared" si="26"/>
        <v>99.76291372386096</v>
      </c>
    </row>
    <row r="310" spans="1:9" ht="47.25">
      <c r="A310" s="45" t="s">
        <v>143</v>
      </c>
      <c r="B310" s="21" t="s">
        <v>205</v>
      </c>
      <c r="C310" s="21" t="s">
        <v>196</v>
      </c>
      <c r="D310" s="11" t="s">
        <v>427</v>
      </c>
      <c r="E310" s="22"/>
      <c r="F310" s="4">
        <f aca="true" t="shared" si="28" ref="F310:H311">F311</f>
        <v>0</v>
      </c>
      <c r="G310" s="4">
        <f t="shared" si="28"/>
        <v>428</v>
      </c>
      <c r="H310" s="4">
        <f t="shared" si="28"/>
        <v>0</v>
      </c>
      <c r="I310" s="152">
        <f t="shared" si="26"/>
        <v>0</v>
      </c>
    </row>
    <row r="311" spans="1:9" ht="47.25">
      <c r="A311" s="15" t="s">
        <v>94</v>
      </c>
      <c r="B311" s="21" t="s">
        <v>205</v>
      </c>
      <c r="C311" s="21" t="s">
        <v>196</v>
      </c>
      <c r="D311" s="11" t="s">
        <v>142</v>
      </c>
      <c r="E311" s="22"/>
      <c r="F311" s="4">
        <f t="shared" si="28"/>
        <v>0</v>
      </c>
      <c r="G311" s="4">
        <f t="shared" si="28"/>
        <v>428</v>
      </c>
      <c r="H311" s="4">
        <f t="shared" si="28"/>
        <v>0</v>
      </c>
      <c r="I311" s="152">
        <f t="shared" si="26"/>
        <v>0</v>
      </c>
    </row>
    <row r="312" spans="1:9" ht="15.75">
      <c r="A312" s="20" t="s">
        <v>243</v>
      </c>
      <c r="B312" s="21" t="s">
        <v>205</v>
      </c>
      <c r="C312" s="21" t="s">
        <v>196</v>
      </c>
      <c r="D312" s="11" t="s">
        <v>142</v>
      </c>
      <c r="E312" s="22" t="s">
        <v>244</v>
      </c>
      <c r="F312" s="4">
        <v>0</v>
      </c>
      <c r="G312" s="4">
        <v>428</v>
      </c>
      <c r="H312" s="4">
        <v>0</v>
      </c>
      <c r="I312" s="152">
        <f t="shared" si="26"/>
        <v>0</v>
      </c>
    </row>
    <row r="313" spans="1:9" ht="15.75">
      <c r="A313" s="15" t="s">
        <v>23</v>
      </c>
      <c r="B313" s="21" t="s">
        <v>205</v>
      </c>
      <c r="C313" s="21" t="s">
        <v>196</v>
      </c>
      <c r="D313" s="11" t="s">
        <v>24</v>
      </c>
      <c r="E313" s="22"/>
      <c r="F313" s="4">
        <f>F314+F316+F318</f>
        <v>29628</v>
      </c>
      <c r="G313" s="4">
        <f>G314+G316+G318</f>
        <v>180097</v>
      </c>
      <c r="H313" s="4">
        <f>H314+H316+H318</f>
        <v>180097</v>
      </c>
      <c r="I313" s="152">
        <f t="shared" si="26"/>
        <v>100</v>
      </c>
    </row>
    <row r="314" spans="1:9" ht="47.25">
      <c r="A314" s="15" t="s">
        <v>25</v>
      </c>
      <c r="B314" s="21" t="s">
        <v>205</v>
      </c>
      <c r="C314" s="21" t="s">
        <v>196</v>
      </c>
      <c r="D314" s="11" t="s">
        <v>26</v>
      </c>
      <c r="E314" s="22"/>
      <c r="F314" s="4">
        <f>F315</f>
        <v>2952</v>
      </c>
      <c r="G314" s="4">
        <f>G315</f>
        <v>38654</v>
      </c>
      <c r="H314" s="4">
        <f>H315</f>
        <v>38654</v>
      </c>
      <c r="I314" s="152">
        <f t="shared" si="26"/>
        <v>100</v>
      </c>
    </row>
    <row r="315" spans="1:9" ht="15.75">
      <c r="A315" s="45" t="s">
        <v>269</v>
      </c>
      <c r="B315" s="21" t="s">
        <v>205</v>
      </c>
      <c r="C315" s="21" t="s">
        <v>196</v>
      </c>
      <c r="D315" s="11" t="s">
        <v>26</v>
      </c>
      <c r="E315" s="22" t="s">
        <v>270</v>
      </c>
      <c r="F315" s="4">
        <f>2952</f>
        <v>2952</v>
      </c>
      <c r="G315" s="4">
        <v>38654</v>
      </c>
      <c r="H315" s="4">
        <v>38654</v>
      </c>
      <c r="I315" s="152">
        <f t="shared" si="26"/>
        <v>100</v>
      </c>
    </row>
    <row r="316" spans="1:9" ht="31.5">
      <c r="A316" s="45" t="s">
        <v>27</v>
      </c>
      <c r="B316" s="21" t="s">
        <v>205</v>
      </c>
      <c r="C316" s="21" t="s">
        <v>196</v>
      </c>
      <c r="D316" s="11" t="s">
        <v>28</v>
      </c>
      <c r="E316" s="22"/>
      <c r="F316" s="4">
        <f>F317</f>
        <v>25857</v>
      </c>
      <c r="G316" s="4">
        <f>G317</f>
        <v>132310</v>
      </c>
      <c r="H316" s="4">
        <f>H317</f>
        <v>132310</v>
      </c>
      <c r="I316" s="152">
        <f t="shared" si="26"/>
        <v>100</v>
      </c>
    </row>
    <row r="317" spans="1:9" ht="15.75">
      <c r="A317" s="45" t="s">
        <v>269</v>
      </c>
      <c r="B317" s="21" t="s">
        <v>205</v>
      </c>
      <c r="C317" s="21" t="s">
        <v>196</v>
      </c>
      <c r="D317" s="11" t="s">
        <v>28</v>
      </c>
      <c r="E317" s="22" t="s">
        <v>270</v>
      </c>
      <c r="F317" s="4">
        <f>25857</f>
        <v>25857</v>
      </c>
      <c r="G317" s="4">
        <v>132310</v>
      </c>
      <c r="H317" s="4">
        <v>132310</v>
      </c>
      <c r="I317" s="152">
        <f t="shared" si="26"/>
        <v>100</v>
      </c>
    </row>
    <row r="318" spans="1:9" ht="32.25" customHeight="1">
      <c r="A318" s="15" t="s">
        <v>29</v>
      </c>
      <c r="B318" s="21" t="s">
        <v>205</v>
      </c>
      <c r="C318" s="21" t="s">
        <v>196</v>
      </c>
      <c r="D318" s="11" t="s">
        <v>30</v>
      </c>
      <c r="E318" s="22"/>
      <c r="F318" s="4">
        <f>F319</f>
        <v>819</v>
      </c>
      <c r="G318" s="4">
        <f>G319</f>
        <v>9133</v>
      </c>
      <c r="H318" s="4">
        <f>H319</f>
        <v>9133</v>
      </c>
      <c r="I318" s="152">
        <f t="shared" si="26"/>
        <v>100</v>
      </c>
    </row>
    <row r="319" spans="1:9" ht="15.75">
      <c r="A319" s="45" t="s">
        <v>269</v>
      </c>
      <c r="B319" s="21" t="s">
        <v>205</v>
      </c>
      <c r="C319" s="21" t="s">
        <v>196</v>
      </c>
      <c r="D319" s="11" t="s">
        <v>30</v>
      </c>
      <c r="E319" s="22" t="s">
        <v>270</v>
      </c>
      <c r="F319" s="4">
        <f>819</f>
        <v>819</v>
      </c>
      <c r="G319" s="4">
        <v>9133</v>
      </c>
      <c r="H319" s="4">
        <v>9133</v>
      </c>
      <c r="I319" s="152">
        <f t="shared" si="26"/>
        <v>100</v>
      </c>
    </row>
    <row r="320" spans="1:9" ht="15.75">
      <c r="A320" s="9" t="s">
        <v>230</v>
      </c>
      <c r="B320" s="23" t="s">
        <v>205</v>
      </c>
      <c r="C320" s="23" t="s">
        <v>196</v>
      </c>
      <c r="D320" s="23" t="s">
        <v>286</v>
      </c>
      <c r="E320" s="16"/>
      <c r="F320" s="105">
        <f>F321</f>
        <v>2616</v>
      </c>
      <c r="G320" s="105">
        <f>G321</f>
        <v>2253</v>
      </c>
      <c r="H320" s="105">
        <f>H321</f>
        <v>2237</v>
      </c>
      <c r="I320" s="152">
        <f t="shared" si="26"/>
        <v>99.28983577452286</v>
      </c>
    </row>
    <row r="321" spans="1:9" ht="47.25">
      <c r="A321" s="45" t="s">
        <v>3</v>
      </c>
      <c r="B321" s="23" t="s">
        <v>205</v>
      </c>
      <c r="C321" s="23" t="s">
        <v>196</v>
      </c>
      <c r="D321" s="23" t="s">
        <v>555</v>
      </c>
      <c r="E321" s="16"/>
      <c r="F321" s="105">
        <f>F323+F322</f>
        <v>2616</v>
      </c>
      <c r="G321" s="105">
        <f>G323+G322</f>
        <v>2253</v>
      </c>
      <c r="H321" s="105">
        <f>H323+H322</f>
        <v>2237</v>
      </c>
      <c r="I321" s="152">
        <f t="shared" si="26"/>
        <v>99.28983577452286</v>
      </c>
    </row>
    <row r="322" spans="1:9" ht="15.75">
      <c r="A322" s="15" t="s">
        <v>309</v>
      </c>
      <c r="B322" s="23" t="s">
        <v>205</v>
      </c>
      <c r="C322" s="23" t="s">
        <v>196</v>
      </c>
      <c r="D322" s="23" t="s">
        <v>555</v>
      </c>
      <c r="E322" s="16" t="s">
        <v>310</v>
      </c>
      <c r="F322" s="105">
        <f>916</f>
        <v>916</v>
      </c>
      <c r="G322" s="105">
        <v>553</v>
      </c>
      <c r="H322" s="105">
        <v>537</v>
      </c>
      <c r="I322" s="152">
        <f t="shared" si="26"/>
        <v>97.10669077757686</v>
      </c>
    </row>
    <row r="323" spans="1:9" ht="15.75">
      <c r="A323" s="20" t="s">
        <v>243</v>
      </c>
      <c r="B323" s="23" t="s">
        <v>205</v>
      </c>
      <c r="C323" s="23" t="s">
        <v>196</v>
      </c>
      <c r="D323" s="23" t="s">
        <v>555</v>
      </c>
      <c r="E323" s="16" t="s">
        <v>244</v>
      </c>
      <c r="F323" s="105">
        <f>1700</f>
        <v>1700</v>
      </c>
      <c r="G323" s="105">
        <f>1700</f>
        <v>1700</v>
      </c>
      <c r="H323" s="105">
        <f>1700</f>
        <v>1700</v>
      </c>
      <c r="I323" s="152">
        <f t="shared" si="26"/>
        <v>100</v>
      </c>
    </row>
    <row r="324" spans="1:9" ht="12" customHeight="1">
      <c r="A324" s="15"/>
      <c r="B324" s="34"/>
      <c r="C324" s="34"/>
      <c r="D324" s="10"/>
      <c r="E324" s="25"/>
      <c r="F324" s="14"/>
      <c r="G324" s="14"/>
      <c r="H324" s="14"/>
      <c r="I324" s="152"/>
    </row>
    <row r="325" spans="1:9" ht="15.75">
      <c r="A325" s="33" t="s">
        <v>235</v>
      </c>
      <c r="B325" s="28" t="s">
        <v>205</v>
      </c>
      <c r="C325" s="28" t="s">
        <v>197</v>
      </c>
      <c r="D325" s="35"/>
      <c r="E325" s="36"/>
      <c r="F325" s="7">
        <f>F336+F347+F387+F343+F326+F333+F340</f>
        <v>916186</v>
      </c>
      <c r="G325" s="7">
        <f>G336+G347+G387+G343+G326+G333+G340</f>
        <v>1105867</v>
      </c>
      <c r="H325" s="7">
        <f>H336+H347+H387+H343+H326+H333+H340</f>
        <v>1046482</v>
      </c>
      <c r="I325" s="154">
        <f t="shared" si="26"/>
        <v>94.630005235711</v>
      </c>
    </row>
    <row r="326" spans="1:9" ht="15.75">
      <c r="A326" s="15" t="s">
        <v>187</v>
      </c>
      <c r="B326" s="23" t="s">
        <v>205</v>
      </c>
      <c r="C326" s="23" t="s">
        <v>197</v>
      </c>
      <c r="D326" s="10" t="s">
        <v>256</v>
      </c>
      <c r="E326" s="25"/>
      <c r="F326" s="6">
        <f>F327+F330</f>
        <v>0</v>
      </c>
      <c r="G326" s="6">
        <f>G327+G330</f>
        <v>7587</v>
      </c>
      <c r="H326" s="6">
        <f>H327+H330</f>
        <v>6409</v>
      </c>
      <c r="I326" s="152">
        <f t="shared" si="26"/>
        <v>84.4734414129432</v>
      </c>
    </row>
    <row r="327" spans="1:9" ht="31.5">
      <c r="A327" s="146" t="s">
        <v>146</v>
      </c>
      <c r="B327" s="23" t="s">
        <v>205</v>
      </c>
      <c r="C327" s="23" t="s">
        <v>197</v>
      </c>
      <c r="D327" s="21" t="s">
        <v>144</v>
      </c>
      <c r="E327" s="22"/>
      <c r="F327" s="6">
        <f aca="true" t="shared" si="29" ref="F327:H328">F328</f>
        <v>0</v>
      </c>
      <c r="G327" s="6">
        <f t="shared" si="29"/>
        <v>1000</v>
      </c>
      <c r="H327" s="6">
        <f t="shared" si="29"/>
        <v>0</v>
      </c>
      <c r="I327" s="152">
        <f t="shared" si="26"/>
        <v>0</v>
      </c>
    </row>
    <row r="328" spans="1:9" ht="31.5">
      <c r="A328" s="146" t="s">
        <v>146</v>
      </c>
      <c r="B328" s="17" t="s">
        <v>205</v>
      </c>
      <c r="C328" s="17" t="s">
        <v>197</v>
      </c>
      <c r="D328" s="21" t="s">
        <v>145</v>
      </c>
      <c r="E328" s="22"/>
      <c r="F328" s="6">
        <f t="shared" si="29"/>
        <v>0</v>
      </c>
      <c r="G328" s="6">
        <f t="shared" si="29"/>
        <v>1000</v>
      </c>
      <c r="H328" s="6">
        <f t="shared" si="29"/>
        <v>0</v>
      </c>
      <c r="I328" s="152">
        <f t="shared" si="26"/>
        <v>0</v>
      </c>
    </row>
    <row r="329" spans="1:9" ht="15.75">
      <c r="A329" s="20" t="s">
        <v>243</v>
      </c>
      <c r="B329" s="23" t="s">
        <v>205</v>
      </c>
      <c r="C329" s="23" t="s">
        <v>197</v>
      </c>
      <c r="D329" s="21" t="s">
        <v>145</v>
      </c>
      <c r="E329" s="22" t="s">
        <v>244</v>
      </c>
      <c r="F329" s="6">
        <v>0</v>
      </c>
      <c r="G329" s="6">
        <v>1000</v>
      </c>
      <c r="H329" s="6">
        <v>0</v>
      </c>
      <c r="I329" s="152">
        <f t="shared" si="26"/>
        <v>0</v>
      </c>
    </row>
    <row r="330" spans="1:9" ht="15.75">
      <c r="A330" s="12" t="s">
        <v>257</v>
      </c>
      <c r="B330" s="23" t="s">
        <v>205</v>
      </c>
      <c r="C330" s="23" t="s">
        <v>197</v>
      </c>
      <c r="D330" s="10" t="s">
        <v>258</v>
      </c>
      <c r="E330" s="25"/>
      <c r="F330" s="6">
        <f aca="true" t="shared" si="30" ref="F330:H331">F331</f>
        <v>0</v>
      </c>
      <c r="G330" s="6">
        <f t="shared" si="30"/>
        <v>6587</v>
      </c>
      <c r="H330" s="6">
        <f t="shared" si="30"/>
        <v>6409</v>
      </c>
      <c r="I330" s="152">
        <f t="shared" si="26"/>
        <v>97.2977076058904</v>
      </c>
    </row>
    <row r="331" spans="1:9" ht="15.75">
      <c r="A331" s="32" t="s">
        <v>434</v>
      </c>
      <c r="B331" s="23" t="s">
        <v>205</v>
      </c>
      <c r="C331" s="23" t="s">
        <v>197</v>
      </c>
      <c r="D331" s="10" t="s">
        <v>259</v>
      </c>
      <c r="E331" s="25"/>
      <c r="F331" s="6">
        <f t="shared" si="30"/>
        <v>0</v>
      </c>
      <c r="G331" s="6">
        <f t="shared" si="30"/>
        <v>6587</v>
      </c>
      <c r="H331" s="6">
        <f t="shared" si="30"/>
        <v>6409</v>
      </c>
      <c r="I331" s="152">
        <f t="shared" si="26"/>
        <v>97.2977076058904</v>
      </c>
    </row>
    <row r="332" spans="1:9" ht="15.75">
      <c r="A332" s="20" t="s">
        <v>243</v>
      </c>
      <c r="B332" s="23" t="s">
        <v>205</v>
      </c>
      <c r="C332" s="23" t="s">
        <v>197</v>
      </c>
      <c r="D332" s="10" t="s">
        <v>259</v>
      </c>
      <c r="E332" s="25" t="s">
        <v>244</v>
      </c>
      <c r="F332" s="6">
        <v>0</v>
      </c>
      <c r="G332" s="6">
        <v>6587</v>
      </c>
      <c r="H332" s="6">
        <v>6409</v>
      </c>
      <c r="I332" s="152">
        <f t="shared" si="26"/>
        <v>97.2977076058904</v>
      </c>
    </row>
    <row r="333" spans="1:9" ht="31.5">
      <c r="A333" s="15" t="s">
        <v>215</v>
      </c>
      <c r="B333" s="21" t="s">
        <v>205</v>
      </c>
      <c r="C333" s="21" t="s">
        <v>197</v>
      </c>
      <c r="D333" s="21" t="s">
        <v>265</v>
      </c>
      <c r="E333" s="19"/>
      <c r="F333" s="6">
        <f aca="true" t="shared" si="31" ref="F333:H334">F334</f>
        <v>0</v>
      </c>
      <c r="G333" s="6">
        <f t="shared" si="31"/>
        <v>1941</v>
      </c>
      <c r="H333" s="6">
        <f t="shared" si="31"/>
        <v>1941</v>
      </c>
      <c r="I333" s="152">
        <f t="shared" si="26"/>
        <v>100</v>
      </c>
    </row>
    <row r="334" spans="1:9" ht="31.5">
      <c r="A334" s="37" t="s">
        <v>267</v>
      </c>
      <c r="B334" s="21" t="s">
        <v>205</v>
      </c>
      <c r="C334" s="21" t="s">
        <v>197</v>
      </c>
      <c r="D334" s="21" t="s">
        <v>268</v>
      </c>
      <c r="E334" s="19"/>
      <c r="F334" s="6">
        <f t="shared" si="31"/>
        <v>0</v>
      </c>
      <c r="G334" s="6">
        <f t="shared" si="31"/>
        <v>1941</v>
      </c>
      <c r="H334" s="6">
        <f t="shared" si="31"/>
        <v>1941</v>
      </c>
      <c r="I334" s="152">
        <f t="shared" si="26"/>
        <v>100</v>
      </c>
    </row>
    <row r="335" spans="1:9" ht="15.75">
      <c r="A335" s="37" t="s">
        <v>269</v>
      </c>
      <c r="B335" s="21" t="s">
        <v>205</v>
      </c>
      <c r="C335" s="21" t="s">
        <v>197</v>
      </c>
      <c r="D335" s="21" t="s">
        <v>268</v>
      </c>
      <c r="E335" s="19" t="s">
        <v>270</v>
      </c>
      <c r="F335" s="6">
        <v>0</v>
      </c>
      <c r="G335" s="6">
        <v>1941</v>
      </c>
      <c r="H335" s="6">
        <v>1941</v>
      </c>
      <c r="I335" s="152">
        <f t="shared" si="26"/>
        <v>100</v>
      </c>
    </row>
    <row r="336" spans="1:9" ht="31.5">
      <c r="A336" s="15" t="s">
        <v>313</v>
      </c>
      <c r="B336" s="23" t="s">
        <v>205</v>
      </c>
      <c r="C336" s="23" t="s">
        <v>197</v>
      </c>
      <c r="D336" s="11" t="s">
        <v>314</v>
      </c>
      <c r="E336" s="22"/>
      <c r="F336" s="6">
        <f aca="true" t="shared" si="32" ref="F336:H338">F337</f>
        <v>68655</v>
      </c>
      <c r="G336" s="6">
        <f t="shared" si="32"/>
        <v>68655</v>
      </c>
      <c r="H336" s="6">
        <f t="shared" si="32"/>
        <v>66639</v>
      </c>
      <c r="I336" s="152">
        <f t="shared" si="26"/>
        <v>97.06357876338213</v>
      </c>
    </row>
    <row r="337" spans="1:9" ht="63">
      <c r="A337" s="70" t="s">
        <v>439</v>
      </c>
      <c r="B337" s="23" t="s">
        <v>205</v>
      </c>
      <c r="C337" s="23" t="s">
        <v>197</v>
      </c>
      <c r="D337" s="18" t="s">
        <v>441</v>
      </c>
      <c r="E337" s="22"/>
      <c r="F337" s="6">
        <f t="shared" si="32"/>
        <v>68655</v>
      </c>
      <c r="G337" s="6">
        <f t="shared" si="32"/>
        <v>68655</v>
      </c>
      <c r="H337" s="6">
        <f t="shared" si="32"/>
        <v>66639</v>
      </c>
      <c r="I337" s="152">
        <f t="shared" si="26"/>
        <v>97.06357876338213</v>
      </c>
    </row>
    <row r="338" spans="1:9" ht="31.5">
      <c r="A338" s="20" t="s">
        <v>440</v>
      </c>
      <c r="B338" s="17" t="s">
        <v>205</v>
      </c>
      <c r="C338" s="17" t="s">
        <v>197</v>
      </c>
      <c r="D338" s="18" t="s">
        <v>442</v>
      </c>
      <c r="E338" s="22"/>
      <c r="F338" s="6">
        <f t="shared" si="32"/>
        <v>68655</v>
      </c>
      <c r="G338" s="6">
        <f t="shared" si="32"/>
        <v>68655</v>
      </c>
      <c r="H338" s="6">
        <f t="shared" si="32"/>
        <v>66639</v>
      </c>
      <c r="I338" s="152">
        <f t="shared" si="26"/>
        <v>97.06357876338213</v>
      </c>
    </row>
    <row r="339" spans="1:9" ht="15.75">
      <c r="A339" s="15" t="s">
        <v>309</v>
      </c>
      <c r="B339" s="23" t="s">
        <v>205</v>
      </c>
      <c r="C339" s="23" t="s">
        <v>197</v>
      </c>
      <c r="D339" s="11" t="s">
        <v>442</v>
      </c>
      <c r="E339" s="22" t="s">
        <v>310</v>
      </c>
      <c r="F339" s="6">
        <f>38016-15200+272+16100+39427-9860-100</f>
        <v>68655</v>
      </c>
      <c r="G339" s="6">
        <f>38016-15200+272+16100+39427-9860-100</f>
        <v>68655</v>
      </c>
      <c r="H339" s="6">
        <v>66639</v>
      </c>
      <c r="I339" s="152">
        <f t="shared" si="26"/>
        <v>97.06357876338213</v>
      </c>
    </row>
    <row r="340" spans="1:9" ht="15.75">
      <c r="A340" s="15" t="s">
        <v>431</v>
      </c>
      <c r="B340" s="34" t="s">
        <v>205</v>
      </c>
      <c r="C340" s="34" t="s">
        <v>197</v>
      </c>
      <c r="D340" s="18" t="s">
        <v>432</v>
      </c>
      <c r="E340" s="22"/>
      <c r="F340" s="6">
        <f aca="true" t="shared" si="33" ref="F340:H341">F341</f>
        <v>0</v>
      </c>
      <c r="G340" s="6">
        <f t="shared" si="33"/>
        <v>180153</v>
      </c>
      <c r="H340" s="6">
        <f t="shared" si="33"/>
        <v>179909</v>
      </c>
      <c r="I340" s="152">
        <f t="shared" si="26"/>
        <v>99.86455956881095</v>
      </c>
    </row>
    <row r="341" spans="1:9" ht="78.75">
      <c r="A341" s="147" t="s">
        <v>148</v>
      </c>
      <c r="B341" s="34" t="s">
        <v>205</v>
      </c>
      <c r="C341" s="34" t="s">
        <v>197</v>
      </c>
      <c r="D341" s="18" t="s">
        <v>147</v>
      </c>
      <c r="E341" s="22"/>
      <c r="F341" s="6">
        <f t="shared" si="33"/>
        <v>0</v>
      </c>
      <c r="G341" s="6">
        <f t="shared" si="33"/>
        <v>180153</v>
      </c>
      <c r="H341" s="6">
        <f t="shared" si="33"/>
        <v>179909</v>
      </c>
      <c r="I341" s="152">
        <f t="shared" si="26"/>
        <v>99.86455956881095</v>
      </c>
    </row>
    <row r="342" spans="1:9" ht="15.75">
      <c r="A342" s="20" t="s">
        <v>243</v>
      </c>
      <c r="B342" s="34" t="s">
        <v>205</v>
      </c>
      <c r="C342" s="34" t="s">
        <v>197</v>
      </c>
      <c r="D342" s="18" t="s">
        <v>147</v>
      </c>
      <c r="E342" s="22" t="s">
        <v>244</v>
      </c>
      <c r="F342" s="6">
        <v>0</v>
      </c>
      <c r="G342" s="6">
        <v>180153</v>
      </c>
      <c r="H342" s="6">
        <v>179909</v>
      </c>
      <c r="I342" s="152">
        <f t="shared" si="26"/>
        <v>99.86455956881095</v>
      </c>
    </row>
    <row r="343" spans="1:9" ht="15.75">
      <c r="A343" s="26" t="s">
        <v>510</v>
      </c>
      <c r="B343" s="23" t="s">
        <v>205</v>
      </c>
      <c r="C343" s="23" t="s">
        <v>197</v>
      </c>
      <c r="D343" s="11" t="s">
        <v>481</v>
      </c>
      <c r="E343" s="22"/>
      <c r="F343" s="6">
        <f>F344</f>
        <v>100000</v>
      </c>
      <c r="G343" s="6">
        <f>G344</f>
        <v>100000</v>
      </c>
      <c r="H343" s="6">
        <f>H344</f>
        <v>61032</v>
      </c>
      <c r="I343" s="152">
        <f t="shared" si="26"/>
        <v>61.032</v>
      </c>
    </row>
    <row r="344" spans="1:9" ht="31.5">
      <c r="A344" s="15" t="s">
        <v>78</v>
      </c>
      <c r="B344" s="23" t="s">
        <v>205</v>
      </c>
      <c r="C344" s="23" t="s">
        <v>197</v>
      </c>
      <c r="D344" s="11" t="s">
        <v>79</v>
      </c>
      <c r="E344" s="22"/>
      <c r="F344" s="6">
        <f>F345+F346</f>
        <v>100000</v>
      </c>
      <c r="G344" s="6">
        <f>G345+G346</f>
        <v>100000</v>
      </c>
      <c r="H344" s="6">
        <f>H345+H346</f>
        <v>61032</v>
      </c>
      <c r="I344" s="152">
        <f t="shared" si="26"/>
        <v>61.032</v>
      </c>
    </row>
    <row r="345" spans="1:9" ht="15.75">
      <c r="A345" s="45" t="s">
        <v>269</v>
      </c>
      <c r="B345" s="23" t="s">
        <v>205</v>
      </c>
      <c r="C345" s="23" t="s">
        <v>197</v>
      </c>
      <c r="D345" s="11" t="s">
        <v>79</v>
      </c>
      <c r="E345" s="22" t="s">
        <v>270</v>
      </c>
      <c r="F345" s="6">
        <f>14454</f>
        <v>14454</v>
      </c>
      <c r="G345" s="6">
        <f>14454</f>
        <v>14454</v>
      </c>
      <c r="H345" s="6">
        <f>14454</f>
        <v>14454</v>
      </c>
      <c r="I345" s="152">
        <f t="shared" si="26"/>
        <v>100</v>
      </c>
    </row>
    <row r="346" spans="1:9" ht="15.75">
      <c r="A346" s="20" t="s">
        <v>243</v>
      </c>
      <c r="B346" s="23" t="s">
        <v>205</v>
      </c>
      <c r="C346" s="23" t="s">
        <v>197</v>
      </c>
      <c r="D346" s="11" t="s">
        <v>80</v>
      </c>
      <c r="E346" s="22" t="s">
        <v>244</v>
      </c>
      <c r="F346" s="6">
        <f>48664+11624+1406+495+23357</f>
        <v>85546</v>
      </c>
      <c r="G346" s="6">
        <f>48664+11624+1406+495+23357</f>
        <v>85546</v>
      </c>
      <c r="H346" s="6">
        <v>46578</v>
      </c>
      <c r="I346" s="152">
        <f t="shared" si="26"/>
        <v>54.44789937577443</v>
      </c>
    </row>
    <row r="347" spans="1:9" ht="15.75">
      <c r="A347" s="26" t="s">
        <v>235</v>
      </c>
      <c r="B347" s="23" t="s">
        <v>205</v>
      </c>
      <c r="C347" s="23" t="s">
        <v>197</v>
      </c>
      <c r="D347" s="44" t="s">
        <v>319</v>
      </c>
      <c r="E347" s="16"/>
      <c r="F347" s="6">
        <f>F348+F353+F366+F368+F370+F372+F376+F374</f>
        <v>649832</v>
      </c>
      <c r="G347" s="6">
        <f>G348+G353+G366+G368+G370+G372+G376+G374</f>
        <v>649832</v>
      </c>
      <c r="H347" s="6">
        <f>H348+H353+H366+H368+H370+H372+H376+H374</f>
        <v>637571</v>
      </c>
      <c r="I347" s="152">
        <f t="shared" si="26"/>
        <v>98.11320464366175</v>
      </c>
    </row>
    <row r="348" spans="1:9" ht="15.75">
      <c r="A348" s="9" t="s">
        <v>233</v>
      </c>
      <c r="B348" s="34" t="s">
        <v>205</v>
      </c>
      <c r="C348" s="34" t="s">
        <v>197</v>
      </c>
      <c r="D348" s="10" t="s">
        <v>320</v>
      </c>
      <c r="E348" s="25"/>
      <c r="F348" s="6">
        <f>F349+F351</f>
        <v>81702</v>
      </c>
      <c r="G348" s="6">
        <f>G349+G351</f>
        <v>81702</v>
      </c>
      <c r="H348" s="6">
        <f>H349+H351</f>
        <v>81701</v>
      </c>
      <c r="I348" s="152">
        <f t="shared" si="26"/>
        <v>99.99877603975423</v>
      </c>
    </row>
    <row r="349" spans="1:9" ht="31.5">
      <c r="A349" s="9" t="s">
        <v>571</v>
      </c>
      <c r="B349" s="34" t="s">
        <v>205</v>
      </c>
      <c r="C349" s="34" t="s">
        <v>197</v>
      </c>
      <c r="D349" s="10" t="s">
        <v>543</v>
      </c>
      <c r="E349" s="25"/>
      <c r="F349" s="6">
        <f>F350</f>
        <v>81452</v>
      </c>
      <c r="G349" s="6">
        <f>G350</f>
        <v>81452</v>
      </c>
      <c r="H349" s="6">
        <f>H350</f>
        <v>81452</v>
      </c>
      <c r="I349" s="152">
        <f t="shared" si="26"/>
        <v>100</v>
      </c>
    </row>
    <row r="350" spans="1:9" ht="15.75">
      <c r="A350" s="45" t="s">
        <v>269</v>
      </c>
      <c r="B350" s="34" t="s">
        <v>205</v>
      </c>
      <c r="C350" s="34" t="s">
        <v>197</v>
      </c>
      <c r="D350" s="10" t="s">
        <v>543</v>
      </c>
      <c r="E350" s="25" t="s">
        <v>270</v>
      </c>
      <c r="F350" s="6">
        <f>70000+11452</f>
        <v>81452</v>
      </c>
      <c r="G350" s="6">
        <f>70000+11452</f>
        <v>81452</v>
      </c>
      <c r="H350" s="6">
        <f>70000+11452</f>
        <v>81452</v>
      </c>
      <c r="I350" s="152">
        <f t="shared" si="26"/>
        <v>100</v>
      </c>
    </row>
    <row r="351" spans="1:9" ht="31.5">
      <c r="A351" s="45" t="s">
        <v>66</v>
      </c>
      <c r="B351" s="34" t="s">
        <v>205</v>
      </c>
      <c r="C351" s="34" t="s">
        <v>197</v>
      </c>
      <c r="D351" s="10" t="s">
        <v>67</v>
      </c>
      <c r="E351" s="25"/>
      <c r="F351" s="6">
        <f>F352</f>
        <v>250</v>
      </c>
      <c r="G351" s="6">
        <f>G352</f>
        <v>250</v>
      </c>
      <c r="H351" s="6">
        <f>H352</f>
        <v>249</v>
      </c>
      <c r="I351" s="152">
        <f t="shared" si="26"/>
        <v>99.6</v>
      </c>
    </row>
    <row r="352" spans="1:9" ht="15.75">
      <c r="A352" s="20" t="s">
        <v>243</v>
      </c>
      <c r="B352" s="34" t="s">
        <v>205</v>
      </c>
      <c r="C352" s="34" t="s">
        <v>197</v>
      </c>
      <c r="D352" s="10" t="s">
        <v>67</v>
      </c>
      <c r="E352" s="25" t="s">
        <v>244</v>
      </c>
      <c r="F352" s="6">
        <v>250</v>
      </c>
      <c r="G352" s="6">
        <v>250</v>
      </c>
      <c r="H352" s="6">
        <v>249</v>
      </c>
      <c r="I352" s="152">
        <f t="shared" si="26"/>
        <v>99.6</v>
      </c>
    </row>
    <row r="353" spans="1:9" ht="32.25" customHeight="1">
      <c r="A353" s="15" t="s">
        <v>321</v>
      </c>
      <c r="B353" s="34" t="s">
        <v>205</v>
      </c>
      <c r="C353" s="34" t="s">
        <v>197</v>
      </c>
      <c r="D353" s="10" t="s">
        <v>322</v>
      </c>
      <c r="E353" s="25"/>
      <c r="F353" s="6">
        <f>F354+F356+F358+F360+F362+F364</f>
        <v>466665</v>
      </c>
      <c r="G353" s="6">
        <f>G354+G356+G358+G360+G362+G364</f>
        <v>466665</v>
      </c>
      <c r="H353" s="6">
        <f>H354+H356+H358+H360+H362+H364</f>
        <v>464475</v>
      </c>
      <c r="I353" s="152">
        <f t="shared" si="26"/>
        <v>99.53071260968788</v>
      </c>
    </row>
    <row r="354" spans="1:9" ht="31.5">
      <c r="A354" s="15" t="s">
        <v>551</v>
      </c>
      <c r="B354" s="34" t="s">
        <v>205</v>
      </c>
      <c r="C354" s="34" t="s">
        <v>197</v>
      </c>
      <c r="D354" s="10" t="s">
        <v>544</v>
      </c>
      <c r="E354" s="25"/>
      <c r="F354" s="6">
        <f>F355</f>
        <v>297477</v>
      </c>
      <c r="G354" s="6">
        <f>G355</f>
        <v>297477</v>
      </c>
      <c r="H354" s="6">
        <f>H355</f>
        <v>295385</v>
      </c>
      <c r="I354" s="152">
        <f t="shared" si="26"/>
        <v>99.2967523539635</v>
      </c>
    </row>
    <row r="355" spans="1:9" ht="15.75">
      <c r="A355" s="20" t="s">
        <v>243</v>
      </c>
      <c r="B355" s="34" t="s">
        <v>205</v>
      </c>
      <c r="C355" s="34" t="s">
        <v>197</v>
      </c>
      <c r="D355" s="10" t="s">
        <v>545</v>
      </c>
      <c r="E355" s="25" t="s">
        <v>244</v>
      </c>
      <c r="F355" s="6">
        <f>276400+42580-15116-2000-16100+11713</f>
        <v>297477</v>
      </c>
      <c r="G355" s="6">
        <f>276400+42580-15116-2000-16100+11713</f>
        <v>297477</v>
      </c>
      <c r="H355" s="6">
        <v>295385</v>
      </c>
      <c r="I355" s="152">
        <f aca="true" t="shared" si="34" ref="I355:I418">H355/G355*100</f>
        <v>99.2967523539635</v>
      </c>
    </row>
    <row r="356" spans="1:9" ht="47.25">
      <c r="A356" s="20" t="s">
        <v>572</v>
      </c>
      <c r="B356" s="34" t="s">
        <v>205</v>
      </c>
      <c r="C356" s="34" t="s">
        <v>197</v>
      </c>
      <c r="D356" s="10" t="s">
        <v>546</v>
      </c>
      <c r="E356" s="25"/>
      <c r="F356" s="6">
        <f>F357</f>
        <v>81509</v>
      </c>
      <c r="G356" s="6">
        <f>G357</f>
        <v>81509</v>
      </c>
      <c r="H356" s="6">
        <f>H357</f>
        <v>81509</v>
      </c>
      <c r="I356" s="152">
        <f t="shared" si="34"/>
        <v>100</v>
      </c>
    </row>
    <row r="357" spans="1:9" ht="15.75">
      <c r="A357" s="45" t="s">
        <v>269</v>
      </c>
      <c r="B357" s="34" t="s">
        <v>205</v>
      </c>
      <c r="C357" s="34" t="s">
        <v>197</v>
      </c>
      <c r="D357" s="10" t="s">
        <v>546</v>
      </c>
      <c r="E357" s="25" t="s">
        <v>270</v>
      </c>
      <c r="F357" s="6">
        <f>52509+27000+2000</f>
        <v>81509</v>
      </c>
      <c r="G357" s="6">
        <f>52509+27000+2000</f>
        <v>81509</v>
      </c>
      <c r="H357" s="6">
        <f>52509+27000+2000</f>
        <v>81509</v>
      </c>
      <c r="I357" s="152">
        <f t="shared" si="34"/>
        <v>100</v>
      </c>
    </row>
    <row r="358" spans="1:9" ht="47.25">
      <c r="A358" s="15" t="s">
        <v>573</v>
      </c>
      <c r="B358" s="34" t="s">
        <v>205</v>
      </c>
      <c r="C358" s="34" t="s">
        <v>197</v>
      </c>
      <c r="D358" s="10" t="s">
        <v>547</v>
      </c>
      <c r="E358" s="25"/>
      <c r="F358" s="6">
        <f>F359</f>
        <v>58245</v>
      </c>
      <c r="G358" s="6">
        <f>G359</f>
        <v>58245</v>
      </c>
      <c r="H358" s="6">
        <f>H359</f>
        <v>58245</v>
      </c>
      <c r="I358" s="152">
        <f t="shared" si="34"/>
        <v>100</v>
      </c>
    </row>
    <row r="359" spans="1:9" ht="15.75">
      <c r="A359" s="45" t="s">
        <v>269</v>
      </c>
      <c r="B359" s="34" t="s">
        <v>205</v>
      </c>
      <c r="C359" s="34" t="s">
        <v>197</v>
      </c>
      <c r="D359" s="10" t="s">
        <v>547</v>
      </c>
      <c r="E359" s="25" t="s">
        <v>270</v>
      </c>
      <c r="F359" s="6">
        <f>46000+8445+1500+2300</f>
        <v>58245</v>
      </c>
      <c r="G359" s="6">
        <f>46000+8445+1500+2300</f>
        <v>58245</v>
      </c>
      <c r="H359" s="6">
        <f>46000+8445+1500+2300</f>
        <v>58245</v>
      </c>
      <c r="I359" s="152">
        <f t="shared" si="34"/>
        <v>100</v>
      </c>
    </row>
    <row r="360" spans="1:9" ht="47.25">
      <c r="A360" s="15" t="s">
        <v>574</v>
      </c>
      <c r="B360" s="34" t="s">
        <v>205</v>
      </c>
      <c r="C360" s="34" t="s">
        <v>197</v>
      </c>
      <c r="D360" s="10" t="s">
        <v>548</v>
      </c>
      <c r="E360" s="25"/>
      <c r="F360" s="6">
        <f>F361</f>
        <v>6000</v>
      </c>
      <c r="G360" s="6">
        <f>G361</f>
        <v>6000</v>
      </c>
      <c r="H360" s="6">
        <f>H361</f>
        <v>6000</v>
      </c>
      <c r="I360" s="152">
        <f t="shared" si="34"/>
        <v>100</v>
      </c>
    </row>
    <row r="361" spans="1:9" ht="15.75">
      <c r="A361" s="45" t="s">
        <v>269</v>
      </c>
      <c r="B361" s="34" t="s">
        <v>205</v>
      </c>
      <c r="C361" s="34" t="s">
        <v>197</v>
      </c>
      <c r="D361" s="10" t="s">
        <v>548</v>
      </c>
      <c r="E361" s="25" t="s">
        <v>270</v>
      </c>
      <c r="F361" s="6">
        <f>4000+2000</f>
        <v>6000</v>
      </c>
      <c r="G361" s="6">
        <f>4000+2000</f>
        <v>6000</v>
      </c>
      <c r="H361" s="6">
        <f>4000+2000</f>
        <v>6000</v>
      </c>
      <c r="I361" s="152">
        <f t="shared" si="34"/>
        <v>100</v>
      </c>
    </row>
    <row r="362" spans="1:9" ht="47.25">
      <c r="A362" s="15" t="s">
        <v>575</v>
      </c>
      <c r="B362" s="34" t="s">
        <v>205</v>
      </c>
      <c r="C362" s="34" t="s">
        <v>197</v>
      </c>
      <c r="D362" s="10" t="s">
        <v>549</v>
      </c>
      <c r="E362" s="25"/>
      <c r="F362" s="6">
        <f>F363</f>
        <v>17800</v>
      </c>
      <c r="G362" s="6">
        <f>G363</f>
        <v>17800</v>
      </c>
      <c r="H362" s="6">
        <f>H363</f>
        <v>17800</v>
      </c>
      <c r="I362" s="152">
        <f t="shared" si="34"/>
        <v>100</v>
      </c>
    </row>
    <row r="363" spans="1:9" ht="15.75">
      <c r="A363" s="45" t="s">
        <v>269</v>
      </c>
      <c r="B363" s="34" t="s">
        <v>205</v>
      </c>
      <c r="C363" s="34" t="s">
        <v>197</v>
      </c>
      <c r="D363" s="10" t="s">
        <v>549</v>
      </c>
      <c r="E363" s="25" t="s">
        <v>270</v>
      </c>
      <c r="F363" s="6">
        <f>15000+2800</f>
        <v>17800</v>
      </c>
      <c r="G363" s="6">
        <f>15000+2800</f>
        <v>17800</v>
      </c>
      <c r="H363" s="6">
        <f>15000+2800</f>
        <v>17800</v>
      </c>
      <c r="I363" s="152">
        <f t="shared" si="34"/>
        <v>100</v>
      </c>
    </row>
    <row r="364" spans="1:9" ht="31.5">
      <c r="A364" s="45" t="s">
        <v>20</v>
      </c>
      <c r="B364" s="34" t="s">
        <v>205</v>
      </c>
      <c r="C364" s="34" t="s">
        <v>197</v>
      </c>
      <c r="D364" s="10" t="s">
        <v>18</v>
      </c>
      <c r="E364" s="25"/>
      <c r="F364" s="6">
        <f>F365</f>
        <v>5634</v>
      </c>
      <c r="G364" s="6">
        <f>G365</f>
        <v>5634</v>
      </c>
      <c r="H364" s="6">
        <f>H365</f>
        <v>5536</v>
      </c>
      <c r="I364" s="152">
        <f t="shared" si="34"/>
        <v>98.26056088036918</v>
      </c>
    </row>
    <row r="365" spans="1:9" ht="15.75">
      <c r="A365" s="20" t="s">
        <v>243</v>
      </c>
      <c r="B365" s="34" t="s">
        <v>205</v>
      </c>
      <c r="C365" s="34" t="s">
        <v>197</v>
      </c>
      <c r="D365" s="10" t="s">
        <v>19</v>
      </c>
      <c r="E365" s="25" t="s">
        <v>244</v>
      </c>
      <c r="F365" s="6">
        <f>5634</f>
        <v>5634</v>
      </c>
      <c r="G365" s="6">
        <f>5634</f>
        <v>5634</v>
      </c>
      <c r="H365" s="6">
        <v>5536</v>
      </c>
      <c r="I365" s="152">
        <f t="shared" si="34"/>
        <v>98.26056088036918</v>
      </c>
    </row>
    <row r="366" spans="1:9" ht="15.75">
      <c r="A366" s="9" t="s">
        <v>236</v>
      </c>
      <c r="B366" s="34" t="s">
        <v>205</v>
      </c>
      <c r="C366" s="34" t="s">
        <v>197</v>
      </c>
      <c r="D366" s="10" t="s">
        <v>323</v>
      </c>
      <c r="E366" s="25"/>
      <c r="F366" s="6">
        <f>F367</f>
        <v>14593</v>
      </c>
      <c r="G366" s="6">
        <f>G367</f>
        <v>14593</v>
      </c>
      <c r="H366" s="6">
        <f>H367</f>
        <v>14005</v>
      </c>
      <c r="I366" s="152">
        <f t="shared" si="34"/>
        <v>95.97067086959501</v>
      </c>
    </row>
    <row r="367" spans="1:9" ht="15.75">
      <c r="A367" s="20" t="s">
        <v>243</v>
      </c>
      <c r="B367" s="34" t="s">
        <v>205</v>
      </c>
      <c r="C367" s="34" t="s">
        <v>197</v>
      </c>
      <c r="D367" s="10" t="s">
        <v>323</v>
      </c>
      <c r="E367" s="25" t="s">
        <v>244</v>
      </c>
      <c r="F367" s="6">
        <f>4500+1500+600+1000+4400+1070+1689+600-516+65-315</f>
        <v>14593</v>
      </c>
      <c r="G367" s="6">
        <f>4500+1500+600+1000+4400+1070+1689+600-516+65-315</f>
        <v>14593</v>
      </c>
      <c r="H367" s="6">
        <v>14005</v>
      </c>
      <c r="I367" s="152">
        <f t="shared" si="34"/>
        <v>95.97067086959501</v>
      </c>
    </row>
    <row r="368" spans="1:9" ht="15.75">
      <c r="A368" s="9" t="s">
        <v>237</v>
      </c>
      <c r="B368" s="34" t="s">
        <v>205</v>
      </c>
      <c r="C368" s="34" t="s">
        <v>197</v>
      </c>
      <c r="D368" s="10" t="s">
        <v>324</v>
      </c>
      <c r="E368" s="25"/>
      <c r="F368" s="6">
        <f>F369</f>
        <v>2542</v>
      </c>
      <c r="G368" s="6">
        <f>G369</f>
        <v>2542</v>
      </c>
      <c r="H368" s="6">
        <f>H369</f>
        <v>2288</v>
      </c>
      <c r="I368" s="152">
        <f t="shared" si="34"/>
        <v>90.00786782061368</v>
      </c>
    </row>
    <row r="369" spans="1:9" ht="15.75">
      <c r="A369" s="20" t="s">
        <v>243</v>
      </c>
      <c r="B369" s="34" t="s">
        <v>205</v>
      </c>
      <c r="C369" s="34" t="s">
        <v>197</v>
      </c>
      <c r="D369" s="10" t="s">
        <v>324</v>
      </c>
      <c r="E369" s="25" t="s">
        <v>244</v>
      </c>
      <c r="F369" s="6">
        <f>300+900+100+900+300+1000-280+44-121-601</f>
        <v>2542</v>
      </c>
      <c r="G369" s="6">
        <f>300+900+100+900+300+1000-280+44-121-601</f>
        <v>2542</v>
      </c>
      <c r="H369" s="6">
        <v>2288</v>
      </c>
      <c r="I369" s="152">
        <f t="shared" si="34"/>
        <v>90.00786782061368</v>
      </c>
    </row>
    <row r="370" spans="1:9" ht="16.5" customHeight="1">
      <c r="A370" s="12" t="s">
        <v>234</v>
      </c>
      <c r="B370" s="34" t="s">
        <v>205</v>
      </c>
      <c r="C370" s="34" t="s">
        <v>197</v>
      </c>
      <c r="D370" s="10" t="s">
        <v>325</v>
      </c>
      <c r="E370" s="25"/>
      <c r="F370" s="6">
        <f>F371</f>
        <v>78308</v>
      </c>
      <c r="G370" s="6">
        <f>G371</f>
        <v>78308</v>
      </c>
      <c r="H370" s="6">
        <f>H371</f>
        <v>69445</v>
      </c>
      <c r="I370" s="152">
        <f t="shared" si="34"/>
        <v>88.68187158400164</v>
      </c>
    </row>
    <row r="371" spans="1:9" ht="15.75">
      <c r="A371" s="20" t="s">
        <v>243</v>
      </c>
      <c r="B371" s="34" t="s">
        <v>205</v>
      </c>
      <c r="C371" s="34" t="s">
        <v>197</v>
      </c>
      <c r="D371" s="10" t="s">
        <v>325</v>
      </c>
      <c r="E371" s="25" t="s">
        <v>244</v>
      </c>
      <c r="F371" s="6">
        <f>10086+5109+12071+5064+16412+9800+8465+2584+1800-250+300+3976+516+258-44-69+56+1300+916-42</f>
        <v>78308</v>
      </c>
      <c r="G371" s="6">
        <f>10086+5109+12071+5064+16412+9800+8465+2584+1800-250+300+3976+516+258-44-69+56+1300+916-42</f>
        <v>78308</v>
      </c>
      <c r="H371" s="6">
        <v>69445</v>
      </c>
      <c r="I371" s="152">
        <f t="shared" si="34"/>
        <v>88.68187158400164</v>
      </c>
    </row>
    <row r="372" spans="1:9" ht="16.5" customHeight="1">
      <c r="A372" s="20" t="s">
        <v>626</v>
      </c>
      <c r="B372" s="34" t="s">
        <v>205</v>
      </c>
      <c r="C372" s="34" t="s">
        <v>197</v>
      </c>
      <c r="D372" s="10" t="s">
        <v>1</v>
      </c>
      <c r="E372" s="25"/>
      <c r="F372" s="6">
        <f>F373</f>
        <v>5000</v>
      </c>
      <c r="G372" s="6">
        <f>G373</f>
        <v>5000</v>
      </c>
      <c r="H372" s="6">
        <f>H373</f>
        <v>5000</v>
      </c>
      <c r="I372" s="152">
        <f t="shared" si="34"/>
        <v>100</v>
      </c>
    </row>
    <row r="373" spans="1:9" ht="15.75">
      <c r="A373" s="20" t="s">
        <v>243</v>
      </c>
      <c r="B373" s="34" t="s">
        <v>205</v>
      </c>
      <c r="C373" s="34" t="s">
        <v>197</v>
      </c>
      <c r="D373" s="10" t="s">
        <v>1</v>
      </c>
      <c r="E373" s="25" t="s">
        <v>244</v>
      </c>
      <c r="F373" s="6">
        <f>5000</f>
        <v>5000</v>
      </c>
      <c r="G373" s="6">
        <f>5000</f>
        <v>5000</v>
      </c>
      <c r="H373" s="6">
        <f>5000</f>
        <v>5000</v>
      </c>
      <c r="I373" s="152">
        <f t="shared" si="34"/>
        <v>100</v>
      </c>
    </row>
    <row r="374" spans="1:9" ht="15.75">
      <c r="A374" s="45" t="s">
        <v>100</v>
      </c>
      <c r="B374" s="34" t="s">
        <v>205</v>
      </c>
      <c r="C374" s="34" t="s">
        <v>197</v>
      </c>
      <c r="D374" s="10" t="s">
        <v>21</v>
      </c>
      <c r="E374" s="25"/>
      <c r="F374" s="6">
        <f>F375</f>
        <v>22</v>
      </c>
      <c r="G374" s="6">
        <f>G375</f>
        <v>22</v>
      </c>
      <c r="H374" s="6">
        <f>H375</f>
        <v>21</v>
      </c>
      <c r="I374" s="152">
        <f t="shared" si="34"/>
        <v>95.45454545454545</v>
      </c>
    </row>
    <row r="375" spans="1:9" ht="15.75">
      <c r="A375" s="20" t="s">
        <v>243</v>
      </c>
      <c r="B375" s="34" t="s">
        <v>205</v>
      </c>
      <c r="C375" s="34" t="s">
        <v>197</v>
      </c>
      <c r="D375" s="10" t="s">
        <v>22</v>
      </c>
      <c r="E375" s="25" t="s">
        <v>244</v>
      </c>
      <c r="F375" s="6">
        <v>22</v>
      </c>
      <c r="G375" s="6">
        <v>22</v>
      </c>
      <c r="H375" s="6">
        <v>21</v>
      </c>
      <c r="I375" s="152">
        <f t="shared" si="34"/>
        <v>95.45454545454545</v>
      </c>
    </row>
    <row r="376" spans="1:9" ht="47.25">
      <c r="A376" s="15" t="s">
        <v>74</v>
      </c>
      <c r="B376" s="23" t="s">
        <v>205</v>
      </c>
      <c r="C376" s="23" t="s">
        <v>197</v>
      </c>
      <c r="D376" s="44" t="s">
        <v>68</v>
      </c>
      <c r="E376" s="51"/>
      <c r="F376" s="6">
        <f>F377+F379+F381+F383+F385</f>
        <v>1000</v>
      </c>
      <c r="G376" s="6">
        <f>G377+G379+G381+G383+G385</f>
        <v>1000</v>
      </c>
      <c r="H376" s="6">
        <f>H377+H379+H381+H383+H385</f>
        <v>636</v>
      </c>
      <c r="I376" s="152">
        <f t="shared" si="34"/>
        <v>63.6</v>
      </c>
    </row>
    <row r="377" spans="1:9" ht="47.25">
      <c r="A377" s="15" t="s">
        <v>81</v>
      </c>
      <c r="B377" s="23" t="s">
        <v>205</v>
      </c>
      <c r="C377" s="23" t="s">
        <v>197</v>
      </c>
      <c r="D377" s="44" t="s">
        <v>69</v>
      </c>
      <c r="E377" s="51"/>
      <c r="F377" s="6">
        <f>F378</f>
        <v>87</v>
      </c>
      <c r="G377" s="6">
        <f>G378</f>
        <v>87</v>
      </c>
      <c r="H377" s="6">
        <f>H378</f>
        <v>87</v>
      </c>
      <c r="I377" s="152">
        <f t="shared" si="34"/>
        <v>100</v>
      </c>
    </row>
    <row r="378" spans="1:9" ht="15.75">
      <c r="A378" s="26" t="s">
        <v>269</v>
      </c>
      <c r="B378" s="23" t="s">
        <v>205</v>
      </c>
      <c r="C378" s="23" t="s">
        <v>197</v>
      </c>
      <c r="D378" s="44" t="s">
        <v>69</v>
      </c>
      <c r="E378" s="51" t="s">
        <v>270</v>
      </c>
      <c r="F378" s="6">
        <f>87</f>
        <v>87</v>
      </c>
      <c r="G378" s="6">
        <f>87</f>
        <v>87</v>
      </c>
      <c r="H378" s="6">
        <f>87</f>
        <v>87</v>
      </c>
      <c r="I378" s="152">
        <f t="shared" si="34"/>
        <v>100</v>
      </c>
    </row>
    <row r="379" spans="1:9" ht="31.5">
      <c r="A379" s="15" t="s">
        <v>82</v>
      </c>
      <c r="B379" s="23" t="s">
        <v>205</v>
      </c>
      <c r="C379" s="23" t="s">
        <v>197</v>
      </c>
      <c r="D379" s="44" t="s">
        <v>70</v>
      </c>
      <c r="E379" s="51"/>
      <c r="F379" s="6">
        <f>F380</f>
        <v>57</v>
      </c>
      <c r="G379" s="6">
        <f>G380</f>
        <v>57</v>
      </c>
      <c r="H379" s="6">
        <f>H380</f>
        <v>57</v>
      </c>
      <c r="I379" s="152">
        <f t="shared" si="34"/>
        <v>100</v>
      </c>
    </row>
    <row r="380" spans="1:9" ht="15.75">
      <c r="A380" s="26" t="s">
        <v>269</v>
      </c>
      <c r="B380" s="23" t="s">
        <v>205</v>
      </c>
      <c r="C380" s="23" t="s">
        <v>197</v>
      </c>
      <c r="D380" s="44" t="s">
        <v>70</v>
      </c>
      <c r="E380" s="51" t="s">
        <v>270</v>
      </c>
      <c r="F380" s="6">
        <f>57</f>
        <v>57</v>
      </c>
      <c r="G380" s="6">
        <f>57</f>
        <v>57</v>
      </c>
      <c r="H380" s="6">
        <f>57</f>
        <v>57</v>
      </c>
      <c r="I380" s="152">
        <f t="shared" si="34"/>
        <v>100</v>
      </c>
    </row>
    <row r="381" spans="1:9" ht="16.5" customHeight="1">
      <c r="A381" s="26" t="s">
        <v>71</v>
      </c>
      <c r="B381" s="23" t="s">
        <v>205</v>
      </c>
      <c r="C381" s="23" t="s">
        <v>197</v>
      </c>
      <c r="D381" s="44" t="s">
        <v>72</v>
      </c>
      <c r="E381" s="51"/>
      <c r="F381" s="6">
        <f>F382</f>
        <v>308</v>
      </c>
      <c r="G381" s="6">
        <f>G382</f>
        <v>308</v>
      </c>
      <c r="H381" s="6">
        <f>H382</f>
        <v>0</v>
      </c>
      <c r="I381" s="152">
        <f t="shared" si="34"/>
        <v>0</v>
      </c>
    </row>
    <row r="382" spans="1:9" ht="15.75">
      <c r="A382" s="20" t="s">
        <v>243</v>
      </c>
      <c r="B382" s="23" t="s">
        <v>205</v>
      </c>
      <c r="C382" s="23" t="s">
        <v>197</v>
      </c>
      <c r="D382" s="44" t="s">
        <v>72</v>
      </c>
      <c r="E382" s="51" t="s">
        <v>244</v>
      </c>
      <c r="F382" s="6">
        <f>308</f>
        <v>308</v>
      </c>
      <c r="G382" s="6">
        <f>308</f>
        <v>308</v>
      </c>
      <c r="H382" s="6">
        <v>0</v>
      </c>
      <c r="I382" s="152">
        <f t="shared" si="34"/>
        <v>0</v>
      </c>
    </row>
    <row r="383" spans="1:9" ht="15.75">
      <c r="A383" s="26" t="s">
        <v>75</v>
      </c>
      <c r="B383" s="23" t="s">
        <v>205</v>
      </c>
      <c r="C383" s="23" t="s">
        <v>197</v>
      </c>
      <c r="D383" s="44" t="s">
        <v>73</v>
      </c>
      <c r="E383" s="51"/>
      <c r="F383" s="6">
        <f>F384</f>
        <v>413</v>
      </c>
      <c r="G383" s="6">
        <f>G384</f>
        <v>413</v>
      </c>
      <c r="H383" s="6">
        <f>H384</f>
        <v>357</v>
      </c>
      <c r="I383" s="152">
        <f t="shared" si="34"/>
        <v>86.4406779661017</v>
      </c>
    </row>
    <row r="384" spans="1:9" ht="15.75">
      <c r="A384" s="20" t="s">
        <v>243</v>
      </c>
      <c r="B384" s="23" t="s">
        <v>205</v>
      </c>
      <c r="C384" s="23" t="s">
        <v>197</v>
      </c>
      <c r="D384" s="44" t="s">
        <v>73</v>
      </c>
      <c r="E384" s="51" t="s">
        <v>244</v>
      </c>
      <c r="F384" s="6">
        <f>179+234</f>
        <v>413</v>
      </c>
      <c r="G384" s="6">
        <f>179+234</f>
        <v>413</v>
      </c>
      <c r="H384" s="6">
        <v>357</v>
      </c>
      <c r="I384" s="152">
        <f t="shared" si="34"/>
        <v>86.4406779661017</v>
      </c>
    </row>
    <row r="385" spans="1:9" ht="15.75">
      <c r="A385" s="20" t="s">
        <v>76</v>
      </c>
      <c r="B385" s="23" t="s">
        <v>205</v>
      </c>
      <c r="C385" s="23" t="s">
        <v>197</v>
      </c>
      <c r="D385" s="44" t="s">
        <v>77</v>
      </c>
      <c r="E385" s="51"/>
      <c r="F385" s="6">
        <f>F386</f>
        <v>135</v>
      </c>
      <c r="G385" s="6">
        <f>G386</f>
        <v>135</v>
      </c>
      <c r="H385" s="6">
        <f>H386</f>
        <v>135</v>
      </c>
      <c r="I385" s="152">
        <f t="shared" si="34"/>
        <v>100</v>
      </c>
    </row>
    <row r="386" spans="1:9" ht="15.75">
      <c r="A386" s="20" t="s">
        <v>243</v>
      </c>
      <c r="B386" s="23" t="s">
        <v>205</v>
      </c>
      <c r="C386" s="23" t="s">
        <v>197</v>
      </c>
      <c r="D386" s="44" t="s">
        <v>77</v>
      </c>
      <c r="E386" s="51" t="s">
        <v>244</v>
      </c>
      <c r="F386" s="6">
        <f>183-53+5</f>
        <v>135</v>
      </c>
      <c r="G386" s="6">
        <f>183-53+5</f>
        <v>135</v>
      </c>
      <c r="H386" s="6">
        <f>183-53+5</f>
        <v>135</v>
      </c>
      <c r="I386" s="152">
        <f t="shared" si="34"/>
        <v>100</v>
      </c>
    </row>
    <row r="387" spans="1:9" ht="15.75">
      <c r="A387" s="9" t="s">
        <v>230</v>
      </c>
      <c r="B387" s="34" t="s">
        <v>205</v>
      </c>
      <c r="C387" s="34" t="s">
        <v>197</v>
      </c>
      <c r="D387" s="10" t="s">
        <v>286</v>
      </c>
      <c r="E387" s="25"/>
      <c r="F387" s="4">
        <f>F390+F392+F395+F388+F397</f>
        <v>97699</v>
      </c>
      <c r="G387" s="4">
        <f>G390+G392+G395+G388+G397</f>
        <v>97699</v>
      </c>
      <c r="H387" s="4">
        <f>H390+H392+H395+H388+H397</f>
        <v>92981</v>
      </c>
      <c r="I387" s="152">
        <f t="shared" si="34"/>
        <v>95.170881994698</v>
      </c>
    </row>
    <row r="388" spans="1:9" ht="47.25">
      <c r="A388" s="20" t="s">
        <v>591</v>
      </c>
      <c r="B388" s="23" t="s">
        <v>205</v>
      </c>
      <c r="C388" s="23" t="s">
        <v>197</v>
      </c>
      <c r="D388" s="44" t="s">
        <v>352</v>
      </c>
      <c r="E388" s="16"/>
      <c r="F388" s="24">
        <f>F389</f>
        <v>8794</v>
      </c>
      <c r="G388" s="24">
        <f>G389</f>
        <v>8794</v>
      </c>
      <c r="H388" s="24">
        <f>H389</f>
        <v>8474</v>
      </c>
      <c r="I388" s="152">
        <f t="shared" si="34"/>
        <v>96.36115533318171</v>
      </c>
    </row>
    <row r="389" spans="1:9" ht="15.75">
      <c r="A389" s="20" t="s">
        <v>243</v>
      </c>
      <c r="B389" s="23" t="s">
        <v>205</v>
      </c>
      <c r="C389" s="23" t="s">
        <v>197</v>
      </c>
      <c r="D389" s="44" t="s">
        <v>352</v>
      </c>
      <c r="E389" s="16" t="s">
        <v>244</v>
      </c>
      <c r="F389" s="24">
        <f>4835+2507+1008+500+150-206</f>
        <v>8794</v>
      </c>
      <c r="G389" s="24">
        <f>4835+2507+1008+500+150-206</f>
        <v>8794</v>
      </c>
      <c r="H389" s="24">
        <v>8474</v>
      </c>
      <c r="I389" s="152">
        <f t="shared" si="34"/>
        <v>96.36115533318171</v>
      </c>
    </row>
    <row r="390" spans="1:9" ht="47.25">
      <c r="A390" s="45" t="s">
        <v>540</v>
      </c>
      <c r="B390" s="34" t="s">
        <v>205</v>
      </c>
      <c r="C390" s="34" t="s">
        <v>197</v>
      </c>
      <c r="D390" s="10" t="s">
        <v>463</v>
      </c>
      <c r="E390" s="25"/>
      <c r="F390" s="4">
        <f>F391</f>
        <v>30000</v>
      </c>
      <c r="G390" s="4">
        <f>G391</f>
        <v>30000</v>
      </c>
      <c r="H390" s="4">
        <f>H391</f>
        <v>29604</v>
      </c>
      <c r="I390" s="152">
        <f t="shared" si="34"/>
        <v>98.68</v>
      </c>
    </row>
    <row r="391" spans="1:9" ht="15.75">
      <c r="A391" s="20" t="s">
        <v>243</v>
      </c>
      <c r="B391" s="34" t="s">
        <v>205</v>
      </c>
      <c r="C391" s="34" t="s">
        <v>197</v>
      </c>
      <c r="D391" s="10" t="s">
        <v>463</v>
      </c>
      <c r="E391" s="25" t="s">
        <v>244</v>
      </c>
      <c r="F391" s="4">
        <f>15000+15000</f>
        <v>30000</v>
      </c>
      <c r="G391" s="4">
        <f>15000+15000</f>
        <v>30000</v>
      </c>
      <c r="H391" s="4">
        <v>29604</v>
      </c>
      <c r="I391" s="152">
        <f t="shared" si="34"/>
        <v>98.68</v>
      </c>
    </row>
    <row r="392" spans="1:9" ht="47.25">
      <c r="A392" s="45" t="s">
        <v>530</v>
      </c>
      <c r="B392" s="34" t="s">
        <v>205</v>
      </c>
      <c r="C392" s="34" t="s">
        <v>197</v>
      </c>
      <c r="D392" s="10" t="s">
        <v>453</v>
      </c>
      <c r="E392" s="25"/>
      <c r="F392" s="4">
        <f>F393+F394</f>
        <v>34312</v>
      </c>
      <c r="G392" s="4">
        <f>G393+G394</f>
        <v>34312</v>
      </c>
      <c r="H392" s="4">
        <f>H393+H394</f>
        <v>31338</v>
      </c>
      <c r="I392" s="152">
        <f t="shared" si="34"/>
        <v>91.33247843320122</v>
      </c>
    </row>
    <row r="393" spans="1:9" ht="15.75">
      <c r="A393" s="15" t="s">
        <v>309</v>
      </c>
      <c r="B393" s="34" t="s">
        <v>205</v>
      </c>
      <c r="C393" s="34" t="s">
        <v>197</v>
      </c>
      <c r="D393" s="10" t="s">
        <v>453</v>
      </c>
      <c r="E393" s="25" t="s">
        <v>310</v>
      </c>
      <c r="F393" s="4">
        <f>28000+2800+250-2590-282</f>
        <v>28178</v>
      </c>
      <c r="G393" s="4">
        <f>28000+2800+250-2590-282</f>
        <v>28178</v>
      </c>
      <c r="H393" s="4">
        <v>28011</v>
      </c>
      <c r="I393" s="152">
        <f t="shared" si="34"/>
        <v>99.40733905884022</v>
      </c>
    </row>
    <row r="394" spans="1:9" ht="15.75">
      <c r="A394" s="20" t="s">
        <v>243</v>
      </c>
      <c r="B394" s="34" t="s">
        <v>205</v>
      </c>
      <c r="C394" s="34" t="s">
        <v>197</v>
      </c>
      <c r="D394" s="10" t="s">
        <v>453</v>
      </c>
      <c r="E394" s="25" t="s">
        <v>244</v>
      </c>
      <c r="F394" s="4">
        <f>250+24+909+170+340+200+281+500+5624-1800+360-429-151-324+180</f>
        <v>6134</v>
      </c>
      <c r="G394" s="4">
        <f>250+24+909+170+340+200+281+500+5624-1800+360-429-151-324+180</f>
        <v>6134</v>
      </c>
      <c r="H394" s="4">
        <v>3327</v>
      </c>
      <c r="I394" s="152">
        <f t="shared" si="34"/>
        <v>54.23866970981415</v>
      </c>
    </row>
    <row r="395" spans="1:9" ht="31.5">
      <c r="A395" s="45" t="s">
        <v>627</v>
      </c>
      <c r="B395" s="23" t="s">
        <v>205</v>
      </c>
      <c r="C395" s="23" t="s">
        <v>197</v>
      </c>
      <c r="D395" s="44" t="s">
        <v>589</v>
      </c>
      <c r="E395" s="16"/>
      <c r="F395" s="24">
        <f>F396</f>
        <v>15111</v>
      </c>
      <c r="G395" s="24">
        <f>G396</f>
        <v>15111</v>
      </c>
      <c r="H395" s="24">
        <f>H396</f>
        <v>14096</v>
      </c>
      <c r="I395" s="152">
        <f t="shared" si="34"/>
        <v>93.28303884587386</v>
      </c>
    </row>
    <row r="396" spans="1:9" ht="15.75">
      <c r="A396" s="20" t="s">
        <v>243</v>
      </c>
      <c r="B396" s="23" t="s">
        <v>205</v>
      </c>
      <c r="C396" s="23" t="s">
        <v>197</v>
      </c>
      <c r="D396" s="44" t="s">
        <v>589</v>
      </c>
      <c r="E396" s="16" t="s">
        <v>244</v>
      </c>
      <c r="F396" s="24">
        <f>2500+2000+1500+1500+3500+1500+1500+1000+69+42</f>
        <v>15111</v>
      </c>
      <c r="G396" s="24">
        <f>2500+2000+1500+1500+3500+1500+1500+1000+69+42</f>
        <v>15111</v>
      </c>
      <c r="H396" s="24">
        <v>14096</v>
      </c>
      <c r="I396" s="152">
        <f t="shared" si="34"/>
        <v>93.28303884587386</v>
      </c>
    </row>
    <row r="397" spans="1:9" ht="63">
      <c r="A397" s="133" t="s">
        <v>52</v>
      </c>
      <c r="B397" s="23" t="s">
        <v>205</v>
      </c>
      <c r="C397" s="23" t="s">
        <v>197</v>
      </c>
      <c r="D397" s="44" t="s">
        <v>55</v>
      </c>
      <c r="E397" s="16"/>
      <c r="F397" s="24">
        <f>F398</f>
        <v>9482</v>
      </c>
      <c r="G397" s="24">
        <f>G398</f>
        <v>9482</v>
      </c>
      <c r="H397" s="24">
        <f>H398</f>
        <v>9469</v>
      </c>
      <c r="I397" s="152">
        <f t="shared" si="34"/>
        <v>99.86289812275892</v>
      </c>
    </row>
    <row r="398" spans="1:9" ht="15.75">
      <c r="A398" s="20" t="s">
        <v>243</v>
      </c>
      <c r="B398" s="23" t="s">
        <v>205</v>
      </c>
      <c r="C398" s="23" t="s">
        <v>197</v>
      </c>
      <c r="D398" s="44" t="s">
        <v>55</v>
      </c>
      <c r="E398" s="16" t="s">
        <v>244</v>
      </c>
      <c r="F398" s="24">
        <f>9482</f>
        <v>9482</v>
      </c>
      <c r="G398" s="24">
        <f>9482</f>
        <v>9482</v>
      </c>
      <c r="H398" s="24">
        <v>9469</v>
      </c>
      <c r="I398" s="152">
        <f t="shared" si="34"/>
        <v>99.86289812275892</v>
      </c>
    </row>
    <row r="399" spans="1:9" ht="11.25" customHeight="1">
      <c r="A399" s="12"/>
      <c r="B399" s="34"/>
      <c r="C399" s="34"/>
      <c r="D399" s="10"/>
      <c r="E399" s="25"/>
      <c r="F399" s="4"/>
      <c r="G399" s="4"/>
      <c r="H399" s="4"/>
      <c r="I399" s="152"/>
    </row>
    <row r="400" spans="1:9" ht="15.75">
      <c r="A400" s="27" t="s">
        <v>326</v>
      </c>
      <c r="B400" s="28" t="s">
        <v>205</v>
      </c>
      <c r="C400" s="28" t="s">
        <v>205</v>
      </c>
      <c r="D400" s="35"/>
      <c r="E400" s="36"/>
      <c r="F400" s="7">
        <f>F412+F405+F409+F401</f>
        <v>72402</v>
      </c>
      <c r="G400" s="7">
        <f>G412+G405+G409+G401</f>
        <v>72367</v>
      </c>
      <c r="H400" s="7">
        <f>H412+H405+H409+H401</f>
        <v>68304</v>
      </c>
      <c r="I400" s="154">
        <f t="shared" si="34"/>
        <v>94.38556248013597</v>
      </c>
    </row>
    <row r="401" spans="1:9" ht="15.75">
      <c r="A401" s="15" t="s">
        <v>187</v>
      </c>
      <c r="B401" s="21" t="s">
        <v>205</v>
      </c>
      <c r="C401" s="34" t="s">
        <v>205</v>
      </c>
      <c r="D401" s="21" t="s">
        <v>256</v>
      </c>
      <c r="E401" s="22"/>
      <c r="F401" s="6">
        <f aca="true" t="shared" si="35" ref="F401:H403">F402</f>
        <v>0</v>
      </c>
      <c r="G401" s="6">
        <f t="shared" si="35"/>
        <v>12</v>
      </c>
      <c r="H401" s="6">
        <f t="shared" si="35"/>
        <v>0</v>
      </c>
      <c r="I401" s="152">
        <f t="shared" si="34"/>
        <v>0</v>
      </c>
    </row>
    <row r="402" spans="1:9" ht="15.75">
      <c r="A402" s="12" t="s">
        <v>257</v>
      </c>
      <c r="B402" s="21" t="s">
        <v>205</v>
      </c>
      <c r="C402" s="34" t="s">
        <v>205</v>
      </c>
      <c r="D402" s="21" t="s">
        <v>258</v>
      </c>
      <c r="E402" s="22"/>
      <c r="F402" s="6">
        <f t="shared" si="35"/>
        <v>0</v>
      </c>
      <c r="G402" s="6">
        <f t="shared" si="35"/>
        <v>12</v>
      </c>
      <c r="H402" s="6">
        <f t="shared" si="35"/>
        <v>0</v>
      </c>
      <c r="I402" s="152">
        <f t="shared" si="34"/>
        <v>0</v>
      </c>
    </row>
    <row r="403" spans="1:9" ht="15.75">
      <c r="A403" s="32" t="s">
        <v>434</v>
      </c>
      <c r="B403" s="21" t="s">
        <v>205</v>
      </c>
      <c r="C403" s="34" t="s">
        <v>205</v>
      </c>
      <c r="D403" s="21" t="s">
        <v>259</v>
      </c>
      <c r="E403" s="22"/>
      <c r="F403" s="6">
        <f t="shared" si="35"/>
        <v>0</v>
      </c>
      <c r="G403" s="6">
        <f t="shared" si="35"/>
        <v>12</v>
      </c>
      <c r="H403" s="6">
        <f t="shared" si="35"/>
        <v>0</v>
      </c>
      <c r="I403" s="152">
        <f t="shared" si="34"/>
        <v>0</v>
      </c>
    </row>
    <row r="404" spans="1:9" ht="15.75">
      <c r="A404" s="45" t="s">
        <v>292</v>
      </c>
      <c r="B404" s="21" t="s">
        <v>205</v>
      </c>
      <c r="C404" s="34" t="s">
        <v>205</v>
      </c>
      <c r="D404" s="21" t="s">
        <v>260</v>
      </c>
      <c r="E404" s="22" t="s">
        <v>274</v>
      </c>
      <c r="F404" s="6">
        <v>0</v>
      </c>
      <c r="G404" s="6">
        <v>12</v>
      </c>
      <c r="H404" s="6">
        <v>0</v>
      </c>
      <c r="I404" s="152">
        <f t="shared" si="34"/>
        <v>0</v>
      </c>
    </row>
    <row r="405" spans="1:9" ht="15.75">
      <c r="A405" s="26" t="s">
        <v>250</v>
      </c>
      <c r="B405" s="23" t="s">
        <v>205</v>
      </c>
      <c r="C405" s="23" t="s">
        <v>205</v>
      </c>
      <c r="D405" s="44" t="s">
        <v>424</v>
      </c>
      <c r="E405" s="16"/>
      <c r="F405" s="112">
        <f aca="true" t="shared" si="36" ref="F405:H407">F406</f>
        <v>10345</v>
      </c>
      <c r="G405" s="112">
        <f t="shared" si="36"/>
        <v>10345</v>
      </c>
      <c r="H405" s="112">
        <f t="shared" si="36"/>
        <v>10254</v>
      </c>
      <c r="I405" s="152">
        <f t="shared" si="34"/>
        <v>99.1203479942001</v>
      </c>
    </row>
    <row r="406" spans="1:9" ht="63">
      <c r="A406" s="26" t="s">
        <v>468</v>
      </c>
      <c r="B406" s="23" t="s">
        <v>205</v>
      </c>
      <c r="C406" s="23" t="s">
        <v>205</v>
      </c>
      <c r="D406" s="44" t="s">
        <v>469</v>
      </c>
      <c r="E406" s="16"/>
      <c r="F406" s="112">
        <f t="shared" si="36"/>
        <v>10345</v>
      </c>
      <c r="G406" s="112">
        <f t="shared" si="36"/>
        <v>10345</v>
      </c>
      <c r="H406" s="112">
        <f t="shared" si="36"/>
        <v>10254</v>
      </c>
      <c r="I406" s="152">
        <f t="shared" si="34"/>
        <v>99.1203479942001</v>
      </c>
    </row>
    <row r="407" spans="1:9" ht="32.25" customHeight="1">
      <c r="A407" s="26" t="s">
        <v>478</v>
      </c>
      <c r="B407" s="23" t="s">
        <v>205</v>
      </c>
      <c r="C407" s="23" t="s">
        <v>205</v>
      </c>
      <c r="D407" s="44" t="s">
        <v>479</v>
      </c>
      <c r="E407" s="16"/>
      <c r="F407" s="112">
        <f t="shared" si="36"/>
        <v>10345</v>
      </c>
      <c r="G407" s="112">
        <f t="shared" si="36"/>
        <v>10345</v>
      </c>
      <c r="H407" s="112">
        <f t="shared" si="36"/>
        <v>10254</v>
      </c>
      <c r="I407" s="152">
        <f t="shared" si="34"/>
        <v>99.1203479942001</v>
      </c>
    </row>
    <row r="408" spans="1:9" ht="15.75">
      <c r="A408" s="45" t="s">
        <v>292</v>
      </c>
      <c r="B408" s="23" t="s">
        <v>205</v>
      </c>
      <c r="C408" s="23" t="s">
        <v>205</v>
      </c>
      <c r="D408" s="44" t="s">
        <v>479</v>
      </c>
      <c r="E408" s="16" t="s">
        <v>274</v>
      </c>
      <c r="F408" s="112">
        <f>10345</f>
        <v>10345</v>
      </c>
      <c r="G408" s="112">
        <f>10345</f>
        <v>10345</v>
      </c>
      <c r="H408" s="112">
        <v>10254</v>
      </c>
      <c r="I408" s="152">
        <f t="shared" si="34"/>
        <v>99.1203479942001</v>
      </c>
    </row>
    <row r="409" spans="1:9" ht="15.75">
      <c r="A409" s="12" t="s">
        <v>533</v>
      </c>
      <c r="B409" s="34" t="s">
        <v>205</v>
      </c>
      <c r="C409" s="34" t="s">
        <v>205</v>
      </c>
      <c r="D409" s="10" t="s">
        <v>534</v>
      </c>
      <c r="E409" s="25"/>
      <c r="F409" s="6">
        <f aca="true" t="shared" si="37" ref="F409:H410">F410</f>
        <v>109</v>
      </c>
      <c r="G409" s="6">
        <f t="shared" si="37"/>
        <v>62</v>
      </c>
      <c r="H409" s="6">
        <f t="shared" si="37"/>
        <v>62</v>
      </c>
      <c r="I409" s="152">
        <f t="shared" si="34"/>
        <v>100</v>
      </c>
    </row>
    <row r="410" spans="1:9" ht="31.5">
      <c r="A410" s="12" t="s">
        <v>536</v>
      </c>
      <c r="B410" s="34" t="s">
        <v>205</v>
      </c>
      <c r="C410" s="34" t="s">
        <v>205</v>
      </c>
      <c r="D410" s="10" t="s">
        <v>535</v>
      </c>
      <c r="E410" s="25"/>
      <c r="F410" s="6">
        <f t="shared" si="37"/>
        <v>109</v>
      </c>
      <c r="G410" s="6">
        <f t="shared" si="37"/>
        <v>62</v>
      </c>
      <c r="H410" s="6">
        <f t="shared" si="37"/>
        <v>62</v>
      </c>
      <c r="I410" s="152">
        <f t="shared" si="34"/>
        <v>100</v>
      </c>
    </row>
    <row r="411" spans="1:9" ht="15.75">
      <c r="A411" s="20" t="s">
        <v>243</v>
      </c>
      <c r="B411" s="34" t="s">
        <v>205</v>
      </c>
      <c r="C411" s="34" t="s">
        <v>205</v>
      </c>
      <c r="D411" s="10" t="s">
        <v>535</v>
      </c>
      <c r="E411" s="25" t="s">
        <v>244</v>
      </c>
      <c r="F411" s="6">
        <f>170-61</f>
        <v>109</v>
      </c>
      <c r="G411" s="6">
        <v>62</v>
      </c>
      <c r="H411" s="6">
        <v>62</v>
      </c>
      <c r="I411" s="152">
        <f t="shared" si="34"/>
        <v>100</v>
      </c>
    </row>
    <row r="412" spans="1:9" ht="31.5">
      <c r="A412" s="45" t="s">
        <v>448</v>
      </c>
      <c r="B412" s="23" t="s">
        <v>205</v>
      </c>
      <c r="C412" s="23" t="s">
        <v>205</v>
      </c>
      <c r="D412" s="44" t="s">
        <v>449</v>
      </c>
      <c r="E412" s="16"/>
      <c r="F412" s="4">
        <f aca="true" t="shared" si="38" ref="F412:H413">F413</f>
        <v>61948</v>
      </c>
      <c r="G412" s="4">
        <f t="shared" si="38"/>
        <v>61948</v>
      </c>
      <c r="H412" s="4">
        <f t="shared" si="38"/>
        <v>57988</v>
      </c>
      <c r="I412" s="152">
        <f t="shared" si="34"/>
        <v>93.60754180925937</v>
      </c>
    </row>
    <row r="413" spans="1:9" ht="15.75">
      <c r="A413" s="12" t="s">
        <v>176</v>
      </c>
      <c r="B413" s="23" t="s">
        <v>205</v>
      </c>
      <c r="C413" s="23" t="s">
        <v>205</v>
      </c>
      <c r="D413" s="44" t="s">
        <v>450</v>
      </c>
      <c r="E413" s="16"/>
      <c r="F413" s="4">
        <f t="shared" si="38"/>
        <v>61948</v>
      </c>
      <c r="G413" s="4">
        <f t="shared" si="38"/>
        <v>61948</v>
      </c>
      <c r="H413" s="4">
        <f t="shared" si="38"/>
        <v>57988</v>
      </c>
      <c r="I413" s="152">
        <f t="shared" si="34"/>
        <v>93.60754180925937</v>
      </c>
    </row>
    <row r="414" spans="1:9" ht="15.75">
      <c r="A414" s="12" t="s">
        <v>292</v>
      </c>
      <c r="B414" s="23" t="s">
        <v>205</v>
      </c>
      <c r="C414" s="23" t="s">
        <v>205</v>
      </c>
      <c r="D414" s="44" t="s">
        <v>450</v>
      </c>
      <c r="E414" s="16" t="s">
        <v>274</v>
      </c>
      <c r="F414" s="4">
        <f>32938+2277+27733-1000</f>
        <v>61948</v>
      </c>
      <c r="G414" s="4">
        <f>32938+2277+27733-1000</f>
        <v>61948</v>
      </c>
      <c r="H414" s="4">
        <v>57988</v>
      </c>
      <c r="I414" s="152">
        <f t="shared" si="34"/>
        <v>93.60754180925937</v>
      </c>
    </row>
    <row r="415" spans="1:9" ht="12" customHeight="1">
      <c r="A415" s="12"/>
      <c r="B415" s="21"/>
      <c r="C415" s="21"/>
      <c r="D415" s="11"/>
      <c r="E415" s="22"/>
      <c r="F415" s="13"/>
      <c r="G415" s="13"/>
      <c r="H415" s="13"/>
      <c r="I415" s="152"/>
    </row>
    <row r="416" spans="1:9" ht="15.75">
      <c r="A416" s="27" t="s">
        <v>327</v>
      </c>
      <c r="B416" s="28" t="s">
        <v>199</v>
      </c>
      <c r="C416" s="28"/>
      <c r="D416" s="35"/>
      <c r="E416" s="36"/>
      <c r="F416" s="7">
        <f aca="true" t="shared" si="39" ref="F416:H418">F417</f>
        <v>500</v>
      </c>
      <c r="G416" s="7">
        <f t="shared" si="39"/>
        <v>500</v>
      </c>
      <c r="H416" s="7">
        <f t="shared" si="39"/>
        <v>500</v>
      </c>
      <c r="I416" s="154">
        <f t="shared" si="34"/>
        <v>100</v>
      </c>
    </row>
    <row r="417" spans="1:9" ht="15.75">
      <c r="A417" s="27" t="s">
        <v>408</v>
      </c>
      <c r="B417" s="28" t="s">
        <v>199</v>
      </c>
      <c r="C417" s="28" t="s">
        <v>205</v>
      </c>
      <c r="D417" s="35"/>
      <c r="E417" s="36"/>
      <c r="F417" s="7">
        <f t="shared" si="39"/>
        <v>500</v>
      </c>
      <c r="G417" s="7">
        <f t="shared" si="39"/>
        <v>500</v>
      </c>
      <c r="H417" s="7">
        <f t="shared" si="39"/>
        <v>500</v>
      </c>
      <c r="I417" s="154">
        <f t="shared" si="34"/>
        <v>100</v>
      </c>
    </row>
    <row r="418" spans="1:9" ht="15.75">
      <c r="A418" s="9" t="s">
        <v>230</v>
      </c>
      <c r="B418" s="21" t="s">
        <v>199</v>
      </c>
      <c r="C418" s="21" t="s">
        <v>205</v>
      </c>
      <c r="D418" s="11" t="s">
        <v>286</v>
      </c>
      <c r="E418" s="22"/>
      <c r="F418" s="4">
        <f t="shared" si="39"/>
        <v>500</v>
      </c>
      <c r="G418" s="4">
        <f t="shared" si="39"/>
        <v>500</v>
      </c>
      <c r="H418" s="4">
        <f t="shared" si="39"/>
        <v>500</v>
      </c>
      <c r="I418" s="152">
        <f t="shared" si="34"/>
        <v>100</v>
      </c>
    </row>
    <row r="419" spans="1:9" ht="31.5">
      <c r="A419" s="15" t="s">
        <v>504</v>
      </c>
      <c r="B419" s="21" t="s">
        <v>199</v>
      </c>
      <c r="C419" s="21" t="s">
        <v>205</v>
      </c>
      <c r="D419" s="11" t="s">
        <v>330</v>
      </c>
      <c r="E419" s="22"/>
      <c r="F419" s="4">
        <f>F420+F421</f>
        <v>500</v>
      </c>
      <c r="G419" s="4">
        <f>G420+G421</f>
        <v>500</v>
      </c>
      <c r="H419" s="4">
        <f>H420+H421</f>
        <v>500</v>
      </c>
      <c r="I419" s="152">
        <f aca="true" t="shared" si="40" ref="I419:I480">H419/G419*100</f>
        <v>100</v>
      </c>
    </row>
    <row r="420" spans="1:9" ht="15.75">
      <c r="A420" s="20" t="s">
        <v>531</v>
      </c>
      <c r="B420" s="17" t="s">
        <v>199</v>
      </c>
      <c r="C420" s="17" t="s">
        <v>205</v>
      </c>
      <c r="D420" s="18" t="s">
        <v>330</v>
      </c>
      <c r="E420" s="19" t="s">
        <v>532</v>
      </c>
      <c r="F420" s="24">
        <f>450</f>
        <v>450</v>
      </c>
      <c r="G420" s="24">
        <f>450</f>
        <v>450</v>
      </c>
      <c r="H420" s="24">
        <f>450</f>
        <v>450</v>
      </c>
      <c r="I420" s="152">
        <f t="shared" si="40"/>
        <v>100</v>
      </c>
    </row>
    <row r="421" spans="1:9" ht="15.75">
      <c r="A421" s="20" t="s">
        <v>243</v>
      </c>
      <c r="B421" s="17" t="s">
        <v>199</v>
      </c>
      <c r="C421" s="17" t="s">
        <v>205</v>
      </c>
      <c r="D421" s="18" t="s">
        <v>330</v>
      </c>
      <c r="E421" s="19" t="s">
        <v>244</v>
      </c>
      <c r="F421" s="24">
        <f>50</f>
        <v>50</v>
      </c>
      <c r="G421" s="24">
        <f>50</f>
        <v>50</v>
      </c>
      <c r="H421" s="24">
        <f>50</f>
        <v>50</v>
      </c>
      <c r="I421" s="152">
        <f t="shared" si="40"/>
        <v>100</v>
      </c>
    </row>
    <row r="422" spans="1:9" ht="12" customHeight="1">
      <c r="A422" s="12"/>
      <c r="B422" s="47"/>
      <c r="C422" s="47"/>
      <c r="D422" s="48"/>
      <c r="E422" s="49"/>
      <c r="F422" s="13"/>
      <c r="G422" s="13"/>
      <c r="H422" s="13"/>
      <c r="I422" s="152"/>
    </row>
    <row r="423" spans="1:9" ht="15.75">
      <c r="A423" s="40" t="s">
        <v>331</v>
      </c>
      <c r="B423" s="54" t="s">
        <v>200</v>
      </c>
      <c r="C423" s="54"/>
      <c r="D423" s="39"/>
      <c r="E423" s="31"/>
      <c r="F423" s="5">
        <f>F424+F460+F511+F530</f>
        <v>2902269</v>
      </c>
      <c r="G423" s="5">
        <f>G424+G460+G511+G530</f>
        <v>3043604</v>
      </c>
      <c r="H423" s="5">
        <f>H424+H460+H511+H530</f>
        <v>3024464</v>
      </c>
      <c r="I423" s="154">
        <f t="shared" si="40"/>
        <v>99.37114026660498</v>
      </c>
    </row>
    <row r="424" spans="1:9" ht="15.75">
      <c r="A424" s="27" t="s">
        <v>332</v>
      </c>
      <c r="B424" s="28" t="s">
        <v>200</v>
      </c>
      <c r="C424" s="28" t="s">
        <v>195</v>
      </c>
      <c r="D424" s="29"/>
      <c r="E424" s="30"/>
      <c r="F424" s="7">
        <f>F433+F440+F454+F444+F425+F447+F451</f>
        <v>1251770</v>
      </c>
      <c r="G424" s="7">
        <f>G433+G440+G454+G444+G425+G447+G451</f>
        <v>1273441</v>
      </c>
      <c r="H424" s="7">
        <f>H433+H440+H454+H444+H425+H447+H451</f>
        <v>1267010</v>
      </c>
      <c r="I424" s="154">
        <f t="shared" si="40"/>
        <v>99.4949903450572</v>
      </c>
    </row>
    <row r="425" spans="1:9" ht="15.75">
      <c r="A425" s="15" t="s">
        <v>187</v>
      </c>
      <c r="B425" s="21" t="s">
        <v>200</v>
      </c>
      <c r="C425" s="21" t="s">
        <v>195</v>
      </c>
      <c r="D425" s="10" t="s">
        <v>256</v>
      </c>
      <c r="E425" s="25"/>
      <c r="F425" s="6">
        <f>F426+F429</f>
        <v>0</v>
      </c>
      <c r="G425" s="6">
        <f>G426+G429</f>
        <v>11043</v>
      </c>
      <c r="H425" s="6">
        <f>H426+H429</f>
        <v>10897</v>
      </c>
      <c r="I425" s="152">
        <f t="shared" si="40"/>
        <v>98.67789549941139</v>
      </c>
    </row>
    <row r="426" spans="1:9" ht="31.5">
      <c r="A426" s="146" t="s">
        <v>146</v>
      </c>
      <c r="B426" s="17" t="s">
        <v>200</v>
      </c>
      <c r="C426" s="17" t="s">
        <v>195</v>
      </c>
      <c r="D426" s="21" t="s">
        <v>144</v>
      </c>
      <c r="E426" s="22"/>
      <c r="F426" s="6">
        <f aca="true" t="shared" si="41" ref="F426:H427">F427</f>
        <v>0</v>
      </c>
      <c r="G426" s="6">
        <f t="shared" si="41"/>
        <v>1874</v>
      </c>
      <c r="H426" s="6">
        <f t="shared" si="41"/>
        <v>1872</v>
      </c>
      <c r="I426" s="152">
        <f t="shared" si="40"/>
        <v>99.89327641408752</v>
      </c>
    </row>
    <row r="427" spans="1:9" ht="31.5">
      <c r="A427" s="146" t="s">
        <v>146</v>
      </c>
      <c r="B427" s="17" t="s">
        <v>200</v>
      </c>
      <c r="C427" s="17" t="s">
        <v>195</v>
      </c>
      <c r="D427" s="21" t="s">
        <v>145</v>
      </c>
      <c r="E427" s="22"/>
      <c r="F427" s="6">
        <f t="shared" si="41"/>
        <v>0</v>
      </c>
      <c r="G427" s="6">
        <f t="shared" si="41"/>
        <v>1874</v>
      </c>
      <c r="H427" s="6">
        <f t="shared" si="41"/>
        <v>1872</v>
      </c>
      <c r="I427" s="152">
        <f t="shared" si="40"/>
        <v>99.89327641408752</v>
      </c>
    </row>
    <row r="428" spans="1:9" ht="15.75">
      <c r="A428" s="45" t="s">
        <v>292</v>
      </c>
      <c r="B428" s="21" t="s">
        <v>200</v>
      </c>
      <c r="C428" s="21" t="s">
        <v>195</v>
      </c>
      <c r="D428" s="21" t="s">
        <v>145</v>
      </c>
      <c r="E428" s="22" t="s">
        <v>274</v>
      </c>
      <c r="F428" s="6">
        <v>0</v>
      </c>
      <c r="G428" s="6">
        <v>1874</v>
      </c>
      <c r="H428" s="6">
        <v>1872</v>
      </c>
      <c r="I428" s="152">
        <f t="shared" si="40"/>
        <v>99.89327641408752</v>
      </c>
    </row>
    <row r="429" spans="1:9" ht="15.75">
      <c r="A429" s="12" t="s">
        <v>257</v>
      </c>
      <c r="B429" s="21" t="s">
        <v>200</v>
      </c>
      <c r="C429" s="21" t="s">
        <v>195</v>
      </c>
      <c r="D429" s="10" t="s">
        <v>258</v>
      </c>
      <c r="E429" s="25"/>
      <c r="F429" s="6">
        <f>F430</f>
        <v>0</v>
      </c>
      <c r="G429" s="6">
        <f>G430</f>
        <v>9169</v>
      </c>
      <c r="H429" s="6">
        <f>H430</f>
        <v>9025</v>
      </c>
      <c r="I429" s="152">
        <f t="shared" si="40"/>
        <v>98.42949067510088</v>
      </c>
    </row>
    <row r="430" spans="1:9" ht="15.75">
      <c r="A430" s="32" t="s">
        <v>434</v>
      </c>
      <c r="B430" s="17" t="s">
        <v>200</v>
      </c>
      <c r="C430" s="17" t="s">
        <v>195</v>
      </c>
      <c r="D430" s="10" t="s">
        <v>259</v>
      </c>
      <c r="E430" s="25"/>
      <c r="F430" s="6">
        <f>F431+F432</f>
        <v>0</v>
      </c>
      <c r="G430" s="6">
        <f>G431+G432</f>
        <v>9169</v>
      </c>
      <c r="H430" s="6">
        <f>H431+H432</f>
        <v>9025</v>
      </c>
      <c r="I430" s="152">
        <f t="shared" si="40"/>
        <v>98.42949067510088</v>
      </c>
    </row>
    <row r="431" spans="1:9" ht="15.75">
      <c r="A431" s="45" t="s">
        <v>292</v>
      </c>
      <c r="B431" s="17" t="s">
        <v>200</v>
      </c>
      <c r="C431" s="17" t="s">
        <v>195</v>
      </c>
      <c r="D431" s="10" t="s">
        <v>259</v>
      </c>
      <c r="E431" s="25" t="s">
        <v>274</v>
      </c>
      <c r="F431" s="6">
        <v>0</v>
      </c>
      <c r="G431" s="6">
        <v>7759</v>
      </c>
      <c r="H431" s="6">
        <v>7627</v>
      </c>
      <c r="I431" s="152">
        <f t="shared" si="40"/>
        <v>98.29874983889675</v>
      </c>
    </row>
    <row r="432" spans="1:9" ht="15.75">
      <c r="A432" s="20" t="s">
        <v>243</v>
      </c>
      <c r="B432" s="17" t="s">
        <v>200</v>
      </c>
      <c r="C432" s="17" t="s">
        <v>195</v>
      </c>
      <c r="D432" s="10" t="s">
        <v>259</v>
      </c>
      <c r="E432" s="25" t="s">
        <v>244</v>
      </c>
      <c r="F432" s="6">
        <v>0</v>
      </c>
      <c r="G432" s="6">
        <v>1410</v>
      </c>
      <c r="H432" s="6">
        <v>1398</v>
      </c>
      <c r="I432" s="152">
        <f t="shared" si="40"/>
        <v>99.14893617021276</v>
      </c>
    </row>
    <row r="433" spans="1:9" ht="15.75">
      <c r="A433" s="15" t="s">
        <v>333</v>
      </c>
      <c r="B433" s="21" t="s">
        <v>200</v>
      </c>
      <c r="C433" s="21" t="s">
        <v>195</v>
      </c>
      <c r="D433" s="11" t="s">
        <v>334</v>
      </c>
      <c r="E433" s="22"/>
      <c r="F433" s="4">
        <f>F438+F436+F434</f>
        <v>1113539</v>
      </c>
      <c r="G433" s="4">
        <f>G438+G436+G434</f>
        <v>1117097</v>
      </c>
      <c r="H433" s="4">
        <f>H438+H436+H434</f>
        <v>1110940</v>
      </c>
      <c r="I433" s="152">
        <f t="shared" si="40"/>
        <v>99.44883926821036</v>
      </c>
    </row>
    <row r="434" spans="1:9" ht="32.25" customHeight="1">
      <c r="A434" s="15" t="s">
        <v>150</v>
      </c>
      <c r="B434" s="21" t="s">
        <v>200</v>
      </c>
      <c r="C434" s="21" t="s">
        <v>195</v>
      </c>
      <c r="D434" s="11" t="s">
        <v>149</v>
      </c>
      <c r="E434" s="22"/>
      <c r="F434" s="4">
        <f>F435</f>
        <v>0</v>
      </c>
      <c r="G434" s="4">
        <f>G435</f>
        <v>894</v>
      </c>
      <c r="H434" s="4">
        <f>H435</f>
        <v>894</v>
      </c>
      <c r="I434" s="152">
        <f t="shared" si="40"/>
        <v>100</v>
      </c>
    </row>
    <row r="435" spans="1:9" ht="15.75">
      <c r="A435" s="45" t="s">
        <v>292</v>
      </c>
      <c r="B435" s="21" t="s">
        <v>200</v>
      </c>
      <c r="C435" s="21" t="s">
        <v>195</v>
      </c>
      <c r="D435" s="11" t="s">
        <v>149</v>
      </c>
      <c r="E435" s="22" t="s">
        <v>274</v>
      </c>
      <c r="F435" s="4">
        <v>0</v>
      </c>
      <c r="G435" s="4">
        <v>894</v>
      </c>
      <c r="H435" s="4">
        <v>894</v>
      </c>
      <c r="I435" s="152">
        <f t="shared" si="40"/>
        <v>100</v>
      </c>
    </row>
    <row r="436" spans="1:9" ht="15.75">
      <c r="A436" s="45" t="s">
        <v>2</v>
      </c>
      <c r="B436" s="17" t="s">
        <v>200</v>
      </c>
      <c r="C436" s="17" t="s">
        <v>195</v>
      </c>
      <c r="D436" s="18" t="s">
        <v>606</v>
      </c>
      <c r="E436" s="19"/>
      <c r="F436" s="24">
        <f>F437</f>
        <v>103829</v>
      </c>
      <c r="G436" s="24">
        <f>G437</f>
        <v>103674</v>
      </c>
      <c r="H436" s="24">
        <f>H437</f>
        <v>101487</v>
      </c>
      <c r="I436" s="152">
        <f t="shared" si="40"/>
        <v>97.89050292262283</v>
      </c>
    </row>
    <row r="437" spans="1:9" ht="15.75">
      <c r="A437" s="20" t="s">
        <v>243</v>
      </c>
      <c r="B437" s="17" t="s">
        <v>200</v>
      </c>
      <c r="C437" s="17" t="s">
        <v>195</v>
      </c>
      <c r="D437" s="18" t="s">
        <v>606</v>
      </c>
      <c r="E437" s="19" t="s">
        <v>244</v>
      </c>
      <c r="F437" s="24">
        <f>80520+39300-9700-2300-3991</f>
        <v>103829</v>
      </c>
      <c r="G437" s="24">
        <v>103674</v>
      </c>
      <c r="H437" s="24">
        <v>101487</v>
      </c>
      <c r="I437" s="152">
        <f t="shared" si="40"/>
        <v>97.89050292262283</v>
      </c>
    </row>
    <row r="438" spans="1:9" ht="15.75">
      <c r="A438" s="12" t="s">
        <v>176</v>
      </c>
      <c r="B438" s="21" t="s">
        <v>200</v>
      </c>
      <c r="C438" s="21" t="s">
        <v>195</v>
      </c>
      <c r="D438" s="11" t="s">
        <v>335</v>
      </c>
      <c r="E438" s="22"/>
      <c r="F438" s="4">
        <f>F439</f>
        <v>1009710</v>
      </c>
      <c r="G438" s="4">
        <f>G439</f>
        <v>1012529</v>
      </c>
      <c r="H438" s="4">
        <f>H439</f>
        <v>1008559</v>
      </c>
      <c r="I438" s="152">
        <f t="shared" si="40"/>
        <v>99.60791246472941</v>
      </c>
    </row>
    <row r="439" spans="1:9" ht="15.75">
      <c r="A439" s="45" t="s">
        <v>292</v>
      </c>
      <c r="B439" s="21" t="s">
        <v>200</v>
      </c>
      <c r="C439" s="21" t="s">
        <v>195</v>
      </c>
      <c r="D439" s="11" t="s">
        <v>335</v>
      </c>
      <c r="E439" s="22" t="s">
        <v>274</v>
      </c>
      <c r="F439" s="4">
        <f>939369+24687+618+17656-5513+22163+10730</f>
        <v>1009710</v>
      </c>
      <c r="G439" s="4">
        <v>1012529</v>
      </c>
      <c r="H439" s="4">
        <v>1008559</v>
      </c>
      <c r="I439" s="152">
        <f t="shared" si="40"/>
        <v>99.60791246472941</v>
      </c>
    </row>
    <row r="440" spans="1:9" ht="15.75">
      <c r="A440" s="20" t="s">
        <v>431</v>
      </c>
      <c r="B440" s="17" t="s">
        <v>200</v>
      </c>
      <c r="C440" s="17" t="s">
        <v>195</v>
      </c>
      <c r="D440" s="18" t="s">
        <v>432</v>
      </c>
      <c r="E440" s="19"/>
      <c r="F440" s="24">
        <f>F441</f>
        <v>40458</v>
      </c>
      <c r="G440" s="24">
        <f>G441</f>
        <v>41341</v>
      </c>
      <c r="H440" s="24">
        <f>H441</f>
        <v>41296</v>
      </c>
      <c r="I440" s="152">
        <f t="shared" si="40"/>
        <v>99.89114922232166</v>
      </c>
    </row>
    <row r="441" spans="1:9" ht="15.75">
      <c r="A441" s="45" t="s">
        <v>529</v>
      </c>
      <c r="B441" s="17" t="s">
        <v>200</v>
      </c>
      <c r="C441" s="17" t="s">
        <v>195</v>
      </c>
      <c r="D441" s="18" t="s">
        <v>569</v>
      </c>
      <c r="E441" s="19"/>
      <c r="F441" s="24">
        <f>F442+F443</f>
        <v>40458</v>
      </c>
      <c r="G441" s="24">
        <f>G442+G443</f>
        <v>41341</v>
      </c>
      <c r="H441" s="24">
        <f>H442+H443</f>
        <v>41296</v>
      </c>
      <c r="I441" s="152">
        <f t="shared" si="40"/>
        <v>99.89114922232166</v>
      </c>
    </row>
    <row r="442" spans="1:9" ht="15.75">
      <c r="A442" s="45" t="s">
        <v>292</v>
      </c>
      <c r="B442" s="17" t="s">
        <v>200</v>
      </c>
      <c r="C442" s="17" t="s">
        <v>195</v>
      </c>
      <c r="D442" s="18" t="s">
        <v>569</v>
      </c>
      <c r="E442" s="19" t="s">
        <v>274</v>
      </c>
      <c r="F442" s="24">
        <f>27182+8673+276</f>
        <v>36131</v>
      </c>
      <c r="G442" s="24">
        <v>36916</v>
      </c>
      <c r="H442" s="24">
        <v>36871</v>
      </c>
      <c r="I442" s="152">
        <f t="shared" si="40"/>
        <v>99.87810163614694</v>
      </c>
    </row>
    <row r="443" spans="1:9" ht="15.75">
      <c r="A443" s="45" t="s">
        <v>640</v>
      </c>
      <c r="B443" s="17" t="s">
        <v>200</v>
      </c>
      <c r="C443" s="17" t="s">
        <v>195</v>
      </c>
      <c r="D443" s="18" t="s">
        <v>569</v>
      </c>
      <c r="E443" s="19" t="s">
        <v>641</v>
      </c>
      <c r="F443" s="24">
        <f>4126+201</f>
        <v>4327</v>
      </c>
      <c r="G443" s="24">
        <v>4425</v>
      </c>
      <c r="H443" s="24">
        <v>4425</v>
      </c>
      <c r="I443" s="152">
        <f t="shared" si="40"/>
        <v>100</v>
      </c>
    </row>
    <row r="444" spans="1:9" ht="15.75">
      <c r="A444" s="26" t="s">
        <v>510</v>
      </c>
      <c r="B444" s="17" t="s">
        <v>200</v>
      </c>
      <c r="C444" s="17" t="s">
        <v>195</v>
      </c>
      <c r="D444" s="18" t="s">
        <v>481</v>
      </c>
      <c r="E444" s="19"/>
      <c r="F444" s="24">
        <f aca="true" t="shared" si="42" ref="F444:H445">F445</f>
        <v>10000</v>
      </c>
      <c r="G444" s="24">
        <f t="shared" si="42"/>
        <v>15000</v>
      </c>
      <c r="H444" s="24">
        <f t="shared" si="42"/>
        <v>15000</v>
      </c>
      <c r="I444" s="152">
        <f t="shared" si="40"/>
        <v>100</v>
      </c>
    </row>
    <row r="445" spans="1:9" ht="47.25">
      <c r="A445" s="26" t="s">
        <v>511</v>
      </c>
      <c r="B445" s="17" t="s">
        <v>200</v>
      </c>
      <c r="C445" s="17" t="s">
        <v>195</v>
      </c>
      <c r="D445" s="18" t="s">
        <v>528</v>
      </c>
      <c r="E445" s="19"/>
      <c r="F445" s="24">
        <f t="shared" si="42"/>
        <v>10000</v>
      </c>
      <c r="G445" s="24">
        <f t="shared" si="42"/>
        <v>15000</v>
      </c>
      <c r="H445" s="24">
        <f t="shared" si="42"/>
        <v>15000</v>
      </c>
      <c r="I445" s="152">
        <f t="shared" si="40"/>
        <v>100</v>
      </c>
    </row>
    <row r="446" spans="1:9" ht="15.75">
      <c r="A446" s="9" t="s">
        <v>309</v>
      </c>
      <c r="B446" s="17" t="s">
        <v>200</v>
      </c>
      <c r="C446" s="17" t="s">
        <v>195</v>
      </c>
      <c r="D446" s="18" t="s">
        <v>528</v>
      </c>
      <c r="E446" s="19" t="s">
        <v>310</v>
      </c>
      <c r="F446" s="24">
        <f>10000</f>
        <v>10000</v>
      </c>
      <c r="G446" s="24">
        <v>15000</v>
      </c>
      <c r="H446" s="24">
        <v>15000</v>
      </c>
      <c r="I446" s="152">
        <f t="shared" si="40"/>
        <v>100</v>
      </c>
    </row>
    <row r="447" spans="1:9" ht="15.75">
      <c r="A447" s="45" t="s">
        <v>250</v>
      </c>
      <c r="B447" s="21" t="s">
        <v>200</v>
      </c>
      <c r="C447" s="21" t="s">
        <v>195</v>
      </c>
      <c r="D447" s="11" t="s">
        <v>424</v>
      </c>
      <c r="E447" s="22"/>
      <c r="F447" s="24">
        <f aca="true" t="shared" si="43" ref="F447:H449">F448</f>
        <v>0</v>
      </c>
      <c r="G447" s="24">
        <f t="shared" si="43"/>
        <v>1155</v>
      </c>
      <c r="H447" s="24">
        <f t="shared" si="43"/>
        <v>1130</v>
      </c>
      <c r="I447" s="152">
        <f t="shared" si="40"/>
        <v>97.83549783549783</v>
      </c>
    </row>
    <row r="448" spans="1:9" ht="47.25">
      <c r="A448" s="45" t="s">
        <v>328</v>
      </c>
      <c r="B448" s="21" t="s">
        <v>200</v>
      </c>
      <c r="C448" s="21" t="s">
        <v>195</v>
      </c>
      <c r="D448" s="11" t="s">
        <v>427</v>
      </c>
      <c r="E448" s="22"/>
      <c r="F448" s="24">
        <f t="shared" si="43"/>
        <v>0</v>
      </c>
      <c r="G448" s="24">
        <f t="shared" si="43"/>
        <v>1155</v>
      </c>
      <c r="H448" s="24">
        <f t="shared" si="43"/>
        <v>1130</v>
      </c>
      <c r="I448" s="152">
        <f t="shared" si="40"/>
        <v>97.83549783549783</v>
      </c>
    </row>
    <row r="449" spans="1:9" ht="66" customHeight="1">
      <c r="A449" s="45" t="s">
        <v>152</v>
      </c>
      <c r="B449" s="21" t="s">
        <v>200</v>
      </c>
      <c r="C449" s="21" t="s">
        <v>195</v>
      </c>
      <c r="D449" s="11" t="s">
        <v>151</v>
      </c>
      <c r="E449" s="22"/>
      <c r="F449" s="24">
        <f t="shared" si="43"/>
        <v>0</v>
      </c>
      <c r="G449" s="24">
        <f t="shared" si="43"/>
        <v>1155</v>
      </c>
      <c r="H449" s="24">
        <f t="shared" si="43"/>
        <v>1130</v>
      </c>
      <c r="I449" s="152">
        <f t="shared" si="40"/>
        <v>97.83549783549783</v>
      </c>
    </row>
    <row r="450" spans="1:9" ht="15.75">
      <c r="A450" s="45" t="s">
        <v>292</v>
      </c>
      <c r="B450" s="21" t="s">
        <v>200</v>
      </c>
      <c r="C450" s="21" t="s">
        <v>195</v>
      </c>
      <c r="D450" s="11" t="s">
        <v>151</v>
      </c>
      <c r="E450" s="22" t="s">
        <v>274</v>
      </c>
      <c r="F450" s="24">
        <v>0</v>
      </c>
      <c r="G450" s="24">
        <v>1155</v>
      </c>
      <c r="H450" s="24">
        <v>1130</v>
      </c>
      <c r="I450" s="152">
        <f t="shared" si="40"/>
        <v>97.83549783549783</v>
      </c>
    </row>
    <row r="451" spans="1:9" ht="15.75">
      <c r="A451" s="12" t="s">
        <v>533</v>
      </c>
      <c r="B451" s="21" t="s">
        <v>200</v>
      </c>
      <c r="C451" s="21" t="s">
        <v>195</v>
      </c>
      <c r="D451" s="11" t="s">
        <v>534</v>
      </c>
      <c r="E451" s="22"/>
      <c r="F451" s="24">
        <f aca="true" t="shared" si="44" ref="F451:H452">F452</f>
        <v>0</v>
      </c>
      <c r="G451" s="24">
        <f t="shared" si="44"/>
        <v>32</v>
      </c>
      <c r="H451" s="24">
        <f t="shared" si="44"/>
        <v>32</v>
      </c>
      <c r="I451" s="152">
        <f t="shared" si="40"/>
        <v>100</v>
      </c>
    </row>
    <row r="452" spans="1:9" ht="31.5">
      <c r="A452" s="12" t="s">
        <v>536</v>
      </c>
      <c r="B452" s="21" t="s">
        <v>200</v>
      </c>
      <c r="C452" s="21" t="s">
        <v>195</v>
      </c>
      <c r="D452" s="11" t="s">
        <v>535</v>
      </c>
      <c r="E452" s="22"/>
      <c r="F452" s="24">
        <f t="shared" si="44"/>
        <v>0</v>
      </c>
      <c r="G452" s="24">
        <f t="shared" si="44"/>
        <v>32</v>
      </c>
      <c r="H452" s="24">
        <f t="shared" si="44"/>
        <v>32</v>
      </c>
      <c r="I452" s="152">
        <f t="shared" si="40"/>
        <v>100</v>
      </c>
    </row>
    <row r="453" spans="1:9" ht="15.75">
      <c r="A453" s="45" t="s">
        <v>292</v>
      </c>
      <c r="B453" s="21" t="s">
        <v>200</v>
      </c>
      <c r="C453" s="21" t="s">
        <v>195</v>
      </c>
      <c r="D453" s="11" t="s">
        <v>535</v>
      </c>
      <c r="E453" s="22" t="s">
        <v>274</v>
      </c>
      <c r="F453" s="24">
        <v>0</v>
      </c>
      <c r="G453" s="24">
        <v>32</v>
      </c>
      <c r="H453" s="24">
        <v>32</v>
      </c>
      <c r="I453" s="152">
        <f t="shared" si="40"/>
        <v>100</v>
      </c>
    </row>
    <row r="454" spans="1:9" ht="15.75">
      <c r="A454" s="9" t="s">
        <v>230</v>
      </c>
      <c r="B454" s="21" t="s">
        <v>200</v>
      </c>
      <c r="C454" s="21" t="s">
        <v>195</v>
      </c>
      <c r="D454" s="11" t="s">
        <v>286</v>
      </c>
      <c r="E454" s="22"/>
      <c r="F454" s="4">
        <f>F457+F455</f>
        <v>87773</v>
      </c>
      <c r="G454" s="4">
        <f>G457+G455</f>
        <v>87773</v>
      </c>
      <c r="H454" s="4">
        <f>H457+H455</f>
        <v>87715</v>
      </c>
      <c r="I454" s="152">
        <f t="shared" si="40"/>
        <v>99.93392045389812</v>
      </c>
    </row>
    <row r="455" spans="1:9" ht="31.5">
      <c r="A455" s="9" t="s">
        <v>592</v>
      </c>
      <c r="B455" s="21" t="s">
        <v>200</v>
      </c>
      <c r="C455" s="21" t="s">
        <v>195</v>
      </c>
      <c r="D455" s="11" t="s">
        <v>593</v>
      </c>
      <c r="E455" s="22"/>
      <c r="F455" s="4">
        <f>F456</f>
        <v>85473</v>
      </c>
      <c r="G455" s="4">
        <f>G456</f>
        <v>85473</v>
      </c>
      <c r="H455" s="4">
        <f>H456</f>
        <v>85473</v>
      </c>
      <c r="I455" s="152">
        <f t="shared" si="40"/>
        <v>100</v>
      </c>
    </row>
    <row r="456" spans="1:9" ht="15.75">
      <c r="A456" s="9" t="s">
        <v>309</v>
      </c>
      <c r="B456" s="21" t="s">
        <v>200</v>
      </c>
      <c r="C456" s="21" t="s">
        <v>195</v>
      </c>
      <c r="D456" s="11" t="s">
        <v>593</v>
      </c>
      <c r="E456" s="22" t="s">
        <v>310</v>
      </c>
      <c r="F456" s="4">
        <f>36102+34371+2200+12800</f>
        <v>85473</v>
      </c>
      <c r="G456" s="4">
        <f>36102+34371+2200+12800</f>
        <v>85473</v>
      </c>
      <c r="H456" s="4">
        <f>36102+34371+2200+12800</f>
        <v>85473</v>
      </c>
      <c r="I456" s="152">
        <f t="shared" si="40"/>
        <v>100</v>
      </c>
    </row>
    <row r="457" spans="1:9" ht="47.25">
      <c r="A457" s="15" t="s">
        <v>505</v>
      </c>
      <c r="B457" s="34" t="s">
        <v>200</v>
      </c>
      <c r="C457" s="34" t="s">
        <v>195</v>
      </c>
      <c r="D457" s="18" t="s">
        <v>294</v>
      </c>
      <c r="E457" s="22"/>
      <c r="F457" s="4">
        <f>F458</f>
        <v>2300</v>
      </c>
      <c r="G457" s="4">
        <f>G458</f>
        <v>2300</v>
      </c>
      <c r="H457" s="4">
        <f>H458</f>
        <v>2242</v>
      </c>
      <c r="I457" s="152">
        <f t="shared" si="40"/>
        <v>97.47826086956522</v>
      </c>
    </row>
    <row r="458" spans="1:9" ht="15.75">
      <c r="A458" s="15" t="s">
        <v>309</v>
      </c>
      <c r="B458" s="34" t="s">
        <v>200</v>
      </c>
      <c r="C458" s="34" t="s">
        <v>195</v>
      </c>
      <c r="D458" s="18" t="s">
        <v>294</v>
      </c>
      <c r="E458" s="22" t="s">
        <v>310</v>
      </c>
      <c r="F458" s="4">
        <f>2300</f>
        <v>2300</v>
      </c>
      <c r="G458" s="4">
        <f>2300</f>
        <v>2300</v>
      </c>
      <c r="H458" s="4">
        <v>2242</v>
      </c>
      <c r="I458" s="152">
        <f t="shared" si="40"/>
        <v>97.47826086956522</v>
      </c>
    </row>
    <row r="459" spans="1:9" ht="12" customHeight="1">
      <c r="A459" s="12"/>
      <c r="B459" s="21"/>
      <c r="C459" s="21"/>
      <c r="D459" s="11"/>
      <c r="E459" s="22"/>
      <c r="F459" s="4"/>
      <c r="G459" s="4"/>
      <c r="H459" s="4"/>
      <c r="I459" s="152"/>
    </row>
    <row r="460" spans="1:9" ht="15.75">
      <c r="A460" s="27" t="s">
        <v>336</v>
      </c>
      <c r="B460" s="28" t="s">
        <v>200</v>
      </c>
      <c r="C460" s="28" t="s">
        <v>196</v>
      </c>
      <c r="D460" s="29"/>
      <c r="E460" s="30"/>
      <c r="F460" s="7">
        <f>F470+F474+F479+F490+F507+F497+F461+F500+F504+F487</f>
        <v>1508100</v>
      </c>
      <c r="G460" s="7">
        <f>G470+G474+G479+G490+G507+G497+G461+G500+G504+G487</f>
        <v>1621838</v>
      </c>
      <c r="H460" s="7">
        <f>H470+H474+H479+H490+H507+H497+H461+H500+H504+H487</f>
        <v>1609918</v>
      </c>
      <c r="I460" s="154">
        <f t="shared" si="40"/>
        <v>99.26503140264317</v>
      </c>
    </row>
    <row r="461" spans="1:9" ht="15.75">
      <c r="A461" s="15" t="s">
        <v>187</v>
      </c>
      <c r="B461" s="21" t="s">
        <v>200</v>
      </c>
      <c r="C461" s="21" t="s">
        <v>196</v>
      </c>
      <c r="D461" s="10" t="s">
        <v>256</v>
      </c>
      <c r="E461" s="25"/>
      <c r="F461" s="6">
        <f>F462+F466</f>
        <v>0</v>
      </c>
      <c r="G461" s="6">
        <f>G462+G466</f>
        <v>15635</v>
      </c>
      <c r="H461" s="6">
        <f>H462+H466</f>
        <v>14736</v>
      </c>
      <c r="I461" s="152">
        <f t="shared" si="40"/>
        <v>94.25007994883275</v>
      </c>
    </row>
    <row r="462" spans="1:9" ht="31.5">
      <c r="A462" s="146" t="s">
        <v>146</v>
      </c>
      <c r="B462" s="17" t="s">
        <v>200</v>
      </c>
      <c r="C462" s="17" t="s">
        <v>196</v>
      </c>
      <c r="D462" s="21" t="s">
        <v>144</v>
      </c>
      <c r="E462" s="22"/>
      <c r="F462" s="6">
        <f>F463</f>
        <v>0</v>
      </c>
      <c r="G462" s="6">
        <f>G463</f>
        <v>3271</v>
      </c>
      <c r="H462" s="6">
        <f>H463</f>
        <v>2409</v>
      </c>
      <c r="I462" s="152">
        <f t="shared" si="40"/>
        <v>73.64720269030877</v>
      </c>
    </row>
    <row r="463" spans="1:9" ht="31.5">
      <c r="A463" s="146" t="s">
        <v>146</v>
      </c>
      <c r="B463" s="17" t="s">
        <v>200</v>
      </c>
      <c r="C463" s="17" t="s">
        <v>196</v>
      </c>
      <c r="D463" s="21" t="s">
        <v>145</v>
      </c>
      <c r="E463" s="22"/>
      <c r="F463" s="6">
        <f>F464+F465</f>
        <v>0</v>
      </c>
      <c r="G463" s="6">
        <f>G464+G465</f>
        <v>3271</v>
      </c>
      <c r="H463" s="6">
        <f>H464+H465</f>
        <v>2409</v>
      </c>
      <c r="I463" s="152">
        <f t="shared" si="40"/>
        <v>73.64720269030877</v>
      </c>
    </row>
    <row r="464" spans="1:9" ht="15.75">
      <c r="A464" s="45" t="s">
        <v>292</v>
      </c>
      <c r="B464" s="21" t="s">
        <v>200</v>
      </c>
      <c r="C464" s="21" t="s">
        <v>196</v>
      </c>
      <c r="D464" s="21" t="s">
        <v>145</v>
      </c>
      <c r="E464" s="22" t="s">
        <v>274</v>
      </c>
      <c r="F464" s="6">
        <v>0</v>
      </c>
      <c r="G464" s="6">
        <v>3030</v>
      </c>
      <c r="H464" s="6">
        <v>2409</v>
      </c>
      <c r="I464" s="152">
        <f t="shared" si="40"/>
        <v>79.50495049504951</v>
      </c>
    </row>
    <row r="465" spans="1:9" ht="15.75">
      <c r="A465" s="20" t="s">
        <v>243</v>
      </c>
      <c r="B465" s="21" t="s">
        <v>200</v>
      </c>
      <c r="C465" s="21" t="s">
        <v>196</v>
      </c>
      <c r="D465" s="21" t="s">
        <v>145</v>
      </c>
      <c r="E465" s="22" t="s">
        <v>244</v>
      </c>
      <c r="F465" s="6">
        <v>0</v>
      </c>
      <c r="G465" s="6">
        <v>241</v>
      </c>
      <c r="H465" s="6">
        <v>0</v>
      </c>
      <c r="I465" s="152">
        <f t="shared" si="40"/>
        <v>0</v>
      </c>
    </row>
    <row r="466" spans="1:9" ht="15.75">
      <c r="A466" s="12" t="s">
        <v>257</v>
      </c>
      <c r="B466" s="21" t="s">
        <v>200</v>
      </c>
      <c r="C466" s="21" t="s">
        <v>196</v>
      </c>
      <c r="D466" s="10" t="s">
        <v>258</v>
      </c>
      <c r="E466" s="25"/>
      <c r="F466" s="6">
        <f>F467</f>
        <v>0</v>
      </c>
      <c r="G466" s="6">
        <f>G467</f>
        <v>12364</v>
      </c>
      <c r="H466" s="6">
        <f>H467</f>
        <v>12327</v>
      </c>
      <c r="I466" s="152">
        <f t="shared" si="40"/>
        <v>99.70074409576188</v>
      </c>
    </row>
    <row r="467" spans="1:9" ht="15.75">
      <c r="A467" s="32" t="s">
        <v>434</v>
      </c>
      <c r="B467" s="17" t="s">
        <v>200</v>
      </c>
      <c r="C467" s="17" t="s">
        <v>196</v>
      </c>
      <c r="D467" s="10" t="s">
        <v>259</v>
      </c>
      <c r="E467" s="25"/>
      <c r="F467" s="6">
        <f>F468+F469</f>
        <v>0</v>
      </c>
      <c r="G467" s="6">
        <f>G468+G469</f>
        <v>12364</v>
      </c>
      <c r="H467" s="6">
        <f>H468+H469</f>
        <v>12327</v>
      </c>
      <c r="I467" s="152">
        <f t="shared" si="40"/>
        <v>99.70074409576188</v>
      </c>
    </row>
    <row r="468" spans="1:9" ht="15.75">
      <c r="A468" s="45" t="s">
        <v>292</v>
      </c>
      <c r="B468" s="17" t="s">
        <v>200</v>
      </c>
      <c r="C468" s="17" t="s">
        <v>196</v>
      </c>
      <c r="D468" s="10" t="s">
        <v>259</v>
      </c>
      <c r="E468" s="25" t="s">
        <v>274</v>
      </c>
      <c r="F468" s="6">
        <v>0</v>
      </c>
      <c r="G468" s="6">
        <v>11846</v>
      </c>
      <c r="H468" s="6">
        <v>11812</v>
      </c>
      <c r="I468" s="152">
        <f t="shared" si="40"/>
        <v>99.71298328549722</v>
      </c>
    </row>
    <row r="469" spans="1:9" ht="15.75">
      <c r="A469" s="20" t="s">
        <v>243</v>
      </c>
      <c r="B469" s="17" t="s">
        <v>200</v>
      </c>
      <c r="C469" s="17" t="s">
        <v>196</v>
      </c>
      <c r="D469" s="10" t="s">
        <v>259</v>
      </c>
      <c r="E469" s="25" t="s">
        <v>244</v>
      </c>
      <c r="F469" s="6">
        <v>0</v>
      </c>
      <c r="G469" s="6">
        <v>518</v>
      </c>
      <c r="H469" s="6">
        <v>515</v>
      </c>
      <c r="I469" s="152">
        <f t="shared" si="40"/>
        <v>99.42084942084942</v>
      </c>
    </row>
    <row r="470" spans="1:9" ht="31.5">
      <c r="A470" s="15" t="s">
        <v>313</v>
      </c>
      <c r="B470" s="21" t="s">
        <v>200</v>
      </c>
      <c r="C470" s="21" t="s">
        <v>196</v>
      </c>
      <c r="D470" s="11" t="s">
        <v>314</v>
      </c>
      <c r="E470" s="22"/>
      <c r="F470" s="6">
        <f aca="true" t="shared" si="45" ref="F470:H472">F471</f>
        <v>6730</v>
      </c>
      <c r="G470" s="6">
        <f t="shared" si="45"/>
        <v>6774</v>
      </c>
      <c r="H470" s="6">
        <f t="shared" si="45"/>
        <v>6767</v>
      </c>
      <c r="I470" s="152">
        <f t="shared" si="40"/>
        <v>99.89666371420137</v>
      </c>
    </row>
    <row r="471" spans="1:9" ht="63">
      <c r="A471" s="70" t="s">
        <v>439</v>
      </c>
      <c r="B471" s="21" t="s">
        <v>200</v>
      </c>
      <c r="C471" s="21" t="s">
        <v>196</v>
      </c>
      <c r="D471" s="11" t="s">
        <v>441</v>
      </c>
      <c r="E471" s="22"/>
      <c r="F471" s="6">
        <f t="shared" si="45"/>
        <v>6730</v>
      </c>
      <c r="G471" s="6">
        <f t="shared" si="45"/>
        <v>6774</v>
      </c>
      <c r="H471" s="6">
        <f t="shared" si="45"/>
        <v>6767</v>
      </c>
      <c r="I471" s="152">
        <f t="shared" si="40"/>
        <v>99.89666371420137</v>
      </c>
    </row>
    <row r="472" spans="1:9" ht="31.5">
      <c r="A472" s="20" t="s">
        <v>440</v>
      </c>
      <c r="B472" s="17" t="s">
        <v>200</v>
      </c>
      <c r="C472" s="21" t="s">
        <v>196</v>
      </c>
      <c r="D472" s="18" t="s">
        <v>442</v>
      </c>
      <c r="E472" s="22"/>
      <c r="F472" s="6">
        <f t="shared" si="45"/>
        <v>6730</v>
      </c>
      <c r="G472" s="6">
        <f t="shared" si="45"/>
        <v>6774</v>
      </c>
      <c r="H472" s="6">
        <f t="shared" si="45"/>
        <v>6767</v>
      </c>
      <c r="I472" s="152">
        <f t="shared" si="40"/>
        <v>99.89666371420137</v>
      </c>
    </row>
    <row r="473" spans="1:9" ht="15.75">
      <c r="A473" s="15" t="s">
        <v>309</v>
      </c>
      <c r="B473" s="21" t="s">
        <v>200</v>
      </c>
      <c r="C473" s="21" t="s">
        <v>196</v>
      </c>
      <c r="D473" s="11" t="s">
        <v>442</v>
      </c>
      <c r="E473" s="22" t="s">
        <v>310</v>
      </c>
      <c r="F473" s="6">
        <f>40715-1560+1200-34500+337+500-132+170</f>
        <v>6730</v>
      </c>
      <c r="G473" s="6">
        <v>6774</v>
      </c>
      <c r="H473" s="6">
        <v>6767</v>
      </c>
      <c r="I473" s="152">
        <f t="shared" si="40"/>
        <v>99.89666371420137</v>
      </c>
    </row>
    <row r="474" spans="1:9" ht="16.5" customHeight="1">
      <c r="A474" s="15" t="s">
        <v>208</v>
      </c>
      <c r="B474" s="21" t="s">
        <v>200</v>
      </c>
      <c r="C474" s="21" t="s">
        <v>196</v>
      </c>
      <c r="D474" s="11" t="s">
        <v>337</v>
      </c>
      <c r="E474" s="31"/>
      <c r="F474" s="4">
        <f>F477+F475</f>
        <v>278844</v>
      </c>
      <c r="G474" s="4">
        <f>G477+G475</f>
        <v>275126</v>
      </c>
      <c r="H474" s="4">
        <f>H477+H475</f>
        <v>267224</v>
      </c>
      <c r="I474" s="152">
        <f t="shared" si="40"/>
        <v>97.12786141622384</v>
      </c>
    </row>
    <row r="475" spans="1:9" ht="15.75">
      <c r="A475" s="20" t="s">
        <v>2</v>
      </c>
      <c r="B475" s="17" t="s">
        <v>200</v>
      </c>
      <c r="C475" s="17" t="s">
        <v>196</v>
      </c>
      <c r="D475" s="18" t="s">
        <v>607</v>
      </c>
      <c r="E475" s="113"/>
      <c r="F475" s="24">
        <f>F476</f>
        <v>49638</v>
      </c>
      <c r="G475" s="24">
        <f>G476</f>
        <v>49638</v>
      </c>
      <c r="H475" s="24">
        <f>H476</f>
        <v>48348</v>
      </c>
      <c r="I475" s="152">
        <f t="shared" si="40"/>
        <v>97.40118457633264</v>
      </c>
    </row>
    <row r="476" spans="1:9" ht="15.75">
      <c r="A476" s="20" t="s">
        <v>243</v>
      </c>
      <c r="B476" s="17" t="s">
        <v>200</v>
      </c>
      <c r="C476" s="17" t="s">
        <v>196</v>
      </c>
      <c r="D476" s="18" t="s">
        <v>607</v>
      </c>
      <c r="E476" s="19" t="s">
        <v>244</v>
      </c>
      <c r="F476" s="24">
        <f>46775+2300+563</f>
        <v>49638</v>
      </c>
      <c r="G476" s="24">
        <f>46775+2300+563</f>
        <v>49638</v>
      </c>
      <c r="H476" s="24">
        <v>48348</v>
      </c>
      <c r="I476" s="152">
        <f t="shared" si="40"/>
        <v>97.40118457633264</v>
      </c>
    </row>
    <row r="477" spans="1:9" ht="15.75">
      <c r="A477" s="12" t="s">
        <v>176</v>
      </c>
      <c r="B477" s="21" t="s">
        <v>200</v>
      </c>
      <c r="C477" s="21" t="s">
        <v>196</v>
      </c>
      <c r="D477" s="11" t="s">
        <v>338</v>
      </c>
      <c r="E477" s="22"/>
      <c r="F477" s="4">
        <f>F478</f>
        <v>229206</v>
      </c>
      <c r="G477" s="4">
        <f>G478</f>
        <v>225488</v>
      </c>
      <c r="H477" s="4">
        <f>H478</f>
        <v>218876</v>
      </c>
      <c r="I477" s="152">
        <f t="shared" si="40"/>
        <v>97.06769318101185</v>
      </c>
    </row>
    <row r="478" spans="1:9" ht="15.75">
      <c r="A478" s="45" t="s">
        <v>292</v>
      </c>
      <c r="B478" s="21" t="s">
        <v>200</v>
      </c>
      <c r="C478" s="21" t="s">
        <v>196</v>
      </c>
      <c r="D478" s="11" t="s">
        <v>338</v>
      </c>
      <c r="E478" s="22" t="s">
        <v>274</v>
      </c>
      <c r="F478" s="4">
        <f>234307+942-4130-1913</f>
        <v>229206</v>
      </c>
      <c r="G478" s="4">
        <v>225488</v>
      </c>
      <c r="H478" s="4">
        <v>218876</v>
      </c>
      <c r="I478" s="152">
        <f t="shared" si="40"/>
        <v>97.06769318101185</v>
      </c>
    </row>
    <row r="479" spans="1:9" ht="15.75">
      <c r="A479" s="15" t="s">
        <v>226</v>
      </c>
      <c r="B479" s="21" t="s">
        <v>200</v>
      </c>
      <c r="C479" s="21" t="s">
        <v>196</v>
      </c>
      <c r="D479" s="11" t="s">
        <v>339</v>
      </c>
      <c r="E479" s="22"/>
      <c r="F479" s="4">
        <f>F485+F480</f>
        <v>294273</v>
      </c>
      <c r="G479" s="4">
        <f>G485+G480</f>
        <v>295349</v>
      </c>
      <c r="H479" s="4">
        <f>H485+H480</f>
        <v>292714</v>
      </c>
      <c r="I479" s="152">
        <f t="shared" si="40"/>
        <v>99.1078351374137</v>
      </c>
    </row>
    <row r="480" spans="1:9" ht="15.75">
      <c r="A480" s="26" t="s">
        <v>2</v>
      </c>
      <c r="B480" s="17" t="s">
        <v>200</v>
      </c>
      <c r="C480" s="17" t="s">
        <v>196</v>
      </c>
      <c r="D480" s="18" t="s">
        <v>608</v>
      </c>
      <c r="E480" s="19"/>
      <c r="F480" s="24">
        <f>F481+F483</f>
        <v>4293</v>
      </c>
      <c r="G480" s="24">
        <f>G481+G483</f>
        <v>4448</v>
      </c>
      <c r="H480" s="24">
        <f>H481+H483</f>
        <v>4403</v>
      </c>
      <c r="I480" s="152">
        <f t="shared" si="40"/>
        <v>98.98830935251799</v>
      </c>
    </row>
    <row r="481" spans="1:9" ht="15.75">
      <c r="A481" s="45" t="s">
        <v>369</v>
      </c>
      <c r="B481" s="17" t="s">
        <v>200</v>
      </c>
      <c r="C481" s="17" t="s">
        <v>196</v>
      </c>
      <c r="D481" s="18" t="s">
        <v>609</v>
      </c>
      <c r="E481" s="19"/>
      <c r="F481" s="24">
        <f>F482</f>
        <v>1293</v>
      </c>
      <c r="G481" s="24">
        <f>G482</f>
        <v>1444</v>
      </c>
      <c r="H481" s="24">
        <f>H482</f>
        <v>1421</v>
      </c>
      <c r="I481" s="152">
        <f aca="true" t="shared" si="46" ref="I481:I544">H481/G481*100</f>
        <v>98.40720221606648</v>
      </c>
    </row>
    <row r="482" spans="1:9" ht="15.75">
      <c r="A482" s="20" t="s">
        <v>243</v>
      </c>
      <c r="B482" s="17" t="s">
        <v>200</v>
      </c>
      <c r="C482" s="17" t="s">
        <v>196</v>
      </c>
      <c r="D482" s="18" t="s">
        <v>609</v>
      </c>
      <c r="E482" s="19" t="s">
        <v>244</v>
      </c>
      <c r="F482" s="24">
        <f>1300-7</f>
        <v>1293</v>
      </c>
      <c r="G482" s="24">
        <v>1444</v>
      </c>
      <c r="H482" s="24">
        <v>1421</v>
      </c>
      <c r="I482" s="152">
        <f t="shared" si="46"/>
        <v>98.40720221606648</v>
      </c>
    </row>
    <row r="483" spans="1:9" ht="15.75">
      <c r="A483" s="45" t="s">
        <v>370</v>
      </c>
      <c r="B483" s="17" t="s">
        <v>200</v>
      </c>
      <c r="C483" s="17" t="s">
        <v>196</v>
      </c>
      <c r="D483" s="18" t="s">
        <v>610</v>
      </c>
      <c r="E483" s="19"/>
      <c r="F483" s="24">
        <f>F484</f>
        <v>3000</v>
      </c>
      <c r="G483" s="24">
        <f>G484</f>
        <v>3004</v>
      </c>
      <c r="H483" s="24">
        <f>H484</f>
        <v>2982</v>
      </c>
      <c r="I483" s="152">
        <f t="shared" si="46"/>
        <v>99.2676431424767</v>
      </c>
    </row>
    <row r="484" spans="1:9" ht="15.75">
      <c r="A484" s="20" t="s">
        <v>243</v>
      </c>
      <c r="B484" s="17" t="s">
        <v>200</v>
      </c>
      <c r="C484" s="17" t="s">
        <v>196</v>
      </c>
      <c r="D484" s="18" t="s">
        <v>610</v>
      </c>
      <c r="E484" s="19" t="s">
        <v>244</v>
      </c>
      <c r="F484" s="24">
        <f>3000</f>
        <v>3000</v>
      </c>
      <c r="G484" s="24">
        <v>3004</v>
      </c>
      <c r="H484" s="24">
        <v>2982</v>
      </c>
      <c r="I484" s="152">
        <f t="shared" si="46"/>
        <v>99.2676431424767</v>
      </c>
    </row>
    <row r="485" spans="1:9" ht="15.75">
      <c r="A485" s="12" t="s">
        <v>176</v>
      </c>
      <c r="B485" s="21" t="s">
        <v>200</v>
      </c>
      <c r="C485" s="21" t="s">
        <v>196</v>
      </c>
      <c r="D485" s="11" t="s">
        <v>340</v>
      </c>
      <c r="E485" s="22"/>
      <c r="F485" s="4">
        <f>F486</f>
        <v>289980</v>
      </c>
      <c r="G485" s="4">
        <f>G486</f>
        <v>290901</v>
      </c>
      <c r="H485" s="4">
        <f>H486</f>
        <v>288311</v>
      </c>
      <c r="I485" s="152">
        <f t="shared" si="46"/>
        <v>99.10966273749489</v>
      </c>
    </row>
    <row r="486" spans="1:9" ht="15.75">
      <c r="A486" s="45" t="s">
        <v>292</v>
      </c>
      <c r="B486" s="21" t="s">
        <v>200</v>
      </c>
      <c r="C486" s="21" t="s">
        <v>196</v>
      </c>
      <c r="D486" s="11" t="s">
        <v>340</v>
      </c>
      <c r="E486" s="22" t="s">
        <v>274</v>
      </c>
      <c r="F486" s="4">
        <f>56619+73482+139860+1781+2492+3172+2265+1738+1273-55-89-336+2307+511+1000+1733+2227</f>
        <v>289980</v>
      </c>
      <c r="G486" s="4">
        <v>290901</v>
      </c>
      <c r="H486" s="4">
        <v>288311</v>
      </c>
      <c r="I486" s="152">
        <f t="shared" si="46"/>
        <v>99.10966273749489</v>
      </c>
    </row>
    <row r="487" spans="1:9" ht="16.5" customHeight="1">
      <c r="A487" s="15" t="s">
        <v>183</v>
      </c>
      <c r="B487" s="21" t="s">
        <v>200</v>
      </c>
      <c r="C487" s="21" t="s">
        <v>196</v>
      </c>
      <c r="D487" s="11" t="s">
        <v>347</v>
      </c>
      <c r="E487" s="22"/>
      <c r="F487" s="4">
        <f aca="true" t="shared" si="47" ref="F487:H488">F488</f>
        <v>0</v>
      </c>
      <c r="G487" s="4">
        <f t="shared" si="47"/>
        <v>18193</v>
      </c>
      <c r="H487" s="4">
        <f t="shared" si="47"/>
        <v>18193</v>
      </c>
      <c r="I487" s="152">
        <f t="shared" si="46"/>
        <v>100</v>
      </c>
    </row>
    <row r="488" spans="1:9" ht="15.75">
      <c r="A488" s="45" t="s">
        <v>158</v>
      </c>
      <c r="B488" s="21" t="s">
        <v>200</v>
      </c>
      <c r="C488" s="21" t="s">
        <v>196</v>
      </c>
      <c r="D488" s="11" t="s">
        <v>157</v>
      </c>
      <c r="E488" s="22"/>
      <c r="F488" s="4">
        <f t="shared" si="47"/>
        <v>0</v>
      </c>
      <c r="G488" s="4">
        <f t="shared" si="47"/>
        <v>18193</v>
      </c>
      <c r="H488" s="4">
        <f t="shared" si="47"/>
        <v>18193</v>
      </c>
      <c r="I488" s="152">
        <f t="shared" si="46"/>
        <v>100</v>
      </c>
    </row>
    <row r="489" spans="1:9" ht="15.75">
      <c r="A489" s="45" t="s">
        <v>292</v>
      </c>
      <c r="B489" s="21" t="s">
        <v>200</v>
      </c>
      <c r="C489" s="21" t="s">
        <v>196</v>
      </c>
      <c r="D489" s="11" t="s">
        <v>157</v>
      </c>
      <c r="E489" s="22" t="s">
        <v>274</v>
      </c>
      <c r="F489" s="4">
        <v>0</v>
      </c>
      <c r="G489" s="4">
        <v>18193</v>
      </c>
      <c r="H489" s="4">
        <v>18193</v>
      </c>
      <c r="I489" s="152">
        <f t="shared" si="46"/>
        <v>100</v>
      </c>
    </row>
    <row r="490" spans="1:9" ht="15.75">
      <c r="A490" s="20" t="s">
        <v>431</v>
      </c>
      <c r="B490" s="17" t="s">
        <v>200</v>
      </c>
      <c r="C490" s="17" t="s">
        <v>196</v>
      </c>
      <c r="D490" s="18" t="s">
        <v>432</v>
      </c>
      <c r="E490" s="19"/>
      <c r="F490" s="24">
        <f>F494+F491</f>
        <v>896608</v>
      </c>
      <c r="G490" s="24">
        <f>G494+G491</f>
        <v>981387</v>
      </c>
      <c r="H490" s="24">
        <f>H494+H491</f>
        <v>980960</v>
      </c>
      <c r="I490" s="152">
        <f t="shared" si="46"/>
        <v>99.95649015118398</v>
      </c>
    </row>
    <row r="491" spans="1:9" ht="15.75">
      <c r="A491" s="45" t="s">
        <v>155</v>
      </c>
      <c r="B491" s="21" t="s">
        <v>200</v>
      </c>
      <c r="C491" s="21" t="s">
        <v>196</v>
      </c>
      <c r="D491" s="11" t="s">
        <v>153</v>
      </c>
      <c r="E491" s="22"/>
      <c r="F491" s="24">
        <f aca="true" t="shared" si="48" ref="F491:H492">F492</f>
        <v>0</v>
      </c>
      <c r="G491" s="24">
        <f t="shared" si="48"/>
        <v>33454</v>
      </c>
      <c r="H491" s="24">
        <f t="shared" si="48"/>
        <v>33413</v>
      </c>
      <c r="I491" s="152">
        <f t="shared" si="46"/>
        <v>99.87744365397262</v>
      </c>
    </row>
    <row r="492" spans="1:9" ht="31.5">
      <c r="A492" s="45" t="s">
        <v>156</v>
      </c>
      <c r="B492" s="21" t="s">
        <v>200</v>
      </c>
      <c r="C492" s="21" t="s">
        <v>196</v>
      </c>
      <c r="D492" s="11" t="s">
        <v>154</v>
      </c>
      <c r="E492" s="22"/>
      <c r="F492" s="24">
        <f t="shared" si="48"/>
        <v>0</v>
      </c>
      <c r="G492" s="24">
        <f t="shared" si="48"/>
        <v>33454</v>
      </c>
      <c r="H492" s="24">
        <f t="shared" si="48"/>
        <v>33413</v>
      </c>
      <c r="I492" s="152">
        <f t="shared" si="46"/>
        <v>99.87744365397262</v>
      </c>
    </row>
    <row r="493" spans="1:9" ht="15.75">
      <c r="A493" s="45" t="s">
        <v>292</v>
      </c>
      <c r="B493" s="21" t="s">
        <v>200</v>
      </c>
      <c r="C493" s="21" t="s">
        <v>196</v>
      </c>
      <c r="D493" s="11" t="s">
        <v>154</v>
      </c>
      <c r="E493" s="22" t="s">
        <v>274</v>
      </c>
      <c r="F493" s="24">
        <v>0</v>
      </c>
      <c r="G493" s="24">
        <v>33454</v>
      </c>
      <c r="H493" s="24">
        <v>33413</v>
      </c>
      <c r="I493" s="152">
        <f t="shared" si="46"/>
        <v>99.87744365397262</v>
      </c>
    </row>
    <row r="494" spans="1:9" ht="15.75">
      <c r="A494" s="45" t="s">
        <v>529</v>
      </c>
      <c r="B494" s="17" t="s">
        <v>200</v>
      </c>
      <c r="C494" s="17" t="s">
        <v>196</v>
      </c>
      <c r="D494" s="18" t="s">
        <v>569</v>
      </c>
      <c r="E494" s="19"/>
      <c r="F494" s="24">
        <f>F495+F496</f>
        <v>896608</v>
      </c>
      <c r="G494" s="24">
        <f>G495+G496</f>
        <v>947933</v>
      </c>
      <c r="H494" s="24">
        <f>H495+H496</f>
        <v>947547</v>
      </c>
      <c r="I494" s="152">
        <f t="shared" si="46"/>
        <v>99.9592798225191</v>
      </c>
    </row>
    <row r="495" spans="1:9" ht="15.75">
      <c r="A495" s="45" t="s">
        <v>292</v>
      </c>
      <c r="B495" s="17" t="s">
        <v>200</v>
      </c>
      <c r="C495" s="17" t="s">
        <v>196</v>
      </c>
      <c r="D495" s="18" t="s">
        <v>569</v>
      </c>
      <c r="E495" s="19" t="s">
        <v>274</v>
      </c>
      <c r="F495" s="24">
        <f>898475-8673+1703</f>
        <v>891505</v>
      </c>
      <c r="G495" s="24">
        <v>942622</v>
      </c>
      <c r="H495" s="24">
        <v>942236</v>
      </c>
      <c r="I495" s="152">
        <f t="shared" si="46"/>
        <v>99.95905039347693</v>
      </c>
    </row>
    <row r="496" spans="1:9" ht="15.75">
      <c r="A496" s="45" t="s">
        <v>640</v>
      </c>
      <c r="B496" s="17" t="s">
        <v>200</v>
      </c>
      <c r="C496" s="17" t="s">
        <v>196</v>
      </c>
      <c r="D496" s="18" t="s">
        <v>569</v>
      </c>
      <c r="E496" s="19" t="s">
        <v>641</v>
      </c>
      <c r="F496" s="24">
        <f>7283-2180</f>
        <v>5103</v>
      </c>
      <c r="G496" s="24">
        <v>5311</v>
      </c>
      <c r="H496" s="24">
        <v>5311</v>
      </c>
      <c r="I496" s="152">
        <f t="shared" si="46"/>
        <v>100</v>
      </c>
    </row>
    <row r="497" spans="1:9" ht="15.75" hidden="1">
      <c r="A497" s="26" t="s">
        <v>510</v>
      </c>
      <c r="B497" s="17" t="s">
        <v>200</v>
      </c>
      <c r="C497" s="17" t="s">
        <v>196</v>
      </c>
      <c r="D497" s="18" t="s">
        <v>481</v>
      </c>
      <c r="E497" s="19"/>
      <c r="F497" s="24">
        <f aca="true" t="shared" si="49" ref="F497:H498">F498</f>
        <v>5000</v>
      </c>
      <c r="G497" s="24">
        <f t="shared" si="49"/>
        <v>0</v>
      </c>
      <c r="H497" s="24">
        <f t="shared" si="49"/>
        <v>0</v>
      </c>
      <c r="I497" s="152">
        <v>0</v>
      </c>
    </row>
    <row r="498" spans="1:9" ht="47.25" hidden="1">
      <c r="A498" s="26" t="s">
        <v>511</v>
      </c>
      <c r="B498" s="17" t="s">
        <v>200</v>
      </c>
      <c r="C498" s="17" t="s">
        <v>196</v>
      </c>
      <c r="D498" s="18" t="s">
        <v>528</v>
      </c>
      <c r="E498" s="19"/>
      <c r="F498" s="24">
        <f t="shared" si="49"/>
        <v>5000</v>
      </c>
      <c r="G498" s="24">
        <f t="shared" si="49"/>
        <v>0</v>
      </c>
      <c r="H498" s="24">
        <f t="shared" si="49"/>
        <v>0</v>
      </c>
      <c r="I498" s="152">
        <v>0</v>
      </c>
    </row>
    <row r="499" spans="1:9" ht="15.75" hidden="1">
      <c r="A499" s="9" t="s">
        <v>309</v>
      </c>
      <c r="B499" s="17" t="s">
        <v>200</v>
      </c>
      <c r="C499" s="17" t="s">
        <v>196</v>
      </c>
      <c r="D499" s="18" t="s">
        <v>528</v>
      </c>
      <c r="E499" s="19" t="s">
        <v>310</v>
      </c>
      <c r="F499" s="24">
        <f>5000</f>
        <v>5000</v>
      </c>
      <c r="G499" s="24">
        <v>0</v>
      </c>
      <c r="H499" s="24">
        <v>0</v>
      </c>
      <c r="I499" s="152">
        <v>0</v>
      </c>
    </row>
    <row r="500" spans="1:9" ht="15.75">
      <c r="A500" s="45" t="s">
        <v>250</v>
      </c>
      <c r="B500" s="21" t="s">
        <v>200</v>
      </c>
      <c r="C500" s="21" t="s">
        <v>196</v>
      </c>
      <c r="D500" s="11" t="s">
        <v>424</v>
      </c>
      <c r="E500" s="22"/>
      <c r="F500" s="24">
        <f aca="true" t="shared" si="50" ref="F500:H502">F501</f>
        <v>0</v>
      </c>
      <c r="G500" s="24">
        <f t="shared" si="50"/>
        <v>2714</v>
      </c>
      <c r="H500" s="24">
        <f t="shared" si="50"/>
        <v>2675</v>
      </c>
      <c r="I500" s="152">
        <f t="shared" si="46"/>
        <v>98.56300663227708</v>
      </c>
    </row>
    <row r="501" spans="1:9" ht="47.25">
      <c r="A501" s="45" t="s">
        <v>328</v>
      </c>
      <c r="B501" s="21" t="s">
        <v>200</v>
      </c>
      <c r="C501" s="21" t="s">
        <v>196</v>
      </c>
      <c r="D501" s="11" t="s">
        <v>427</v>
      </c>
      <c r="E501" s="22"/>
      <c r="F501" s="24">
        <f t="shared" si="50"/>
        <v>0</v>
      </c>
      <c r="G501" s="24">
        <f t="shared" si="50"/>
        <v>2714</v>
      </c>
      <c r="H501" s="24">
        <f t="shared" si="50"/>
        <v>2675</v>
      </c>
      <c r="I501" s="152">
        <f t="shared" si="46"/>
        <v>98.56300663227708</v>
      </c>
    </row>
    <row r="502" spans="1:9" ht="66" customHeight="1">
      <c r="A502" s="45" t="s">
        <v>152</v>
      </c>
      <c r="B502" s="21" t="s">
        <v>200</v>
      </c>
      <c r="C502" s="21" t="s">
        <v>196</v>
      </c>
      <c r="D502" s="11" t="s">
        <v>151</v>
      </c>
      <c r="E502" s="22"/>
      <c r="F502" s="24">
        <f t="shared" si="50"/>
        <v>0</v>
      </c>
      <c r="G502" s="24">
        <f t="shared" si="50"/>
        <v>2714</v>
      </c>
      <c r="H502" s="24">
        <f t="shared" si="50"/>
        <v>2675</v>
      </c>
      <c r="I502" s="152">
        <f t="shared" si="46"/>
        <v>98.56300663227708</v>
      </c>
    </row>
    <row r="503" spans="1:9" ht="15.75">
      <c r="A503" s="45" t="s">
        <v>292</v>
      </c>
      <c r="B503" s="21" t="s">
        <v>200</v>
      </c>
      <c r="C503" s="21" t="s">
        <v>196</v>
      </c>
      <c r="D503" s="11" t="s">
        <v>151</v>
      </c>
      <c r="E503" s="22" t="s">
        <v>274</v>
      </c>
      <c r="F503" s="24">
        <v>0</v>
      </c>
      <c r="G503" s="24">
        <v>2714</v>
      </c>
      <c r="H503" s="24">
        <v>2675</v>
      </c>
      <c r="I503" s="152">
        <f t="shared" si="46"/>
        <v>98.56300663227708</v>
      </c>
    </row>
    <row r="504" spans="1:9" ht="15.75">
      <c r="A504" s="12" t="s">
        <v>533</v>
      </c>
      <c r="B504" s="21" t="s">
        <v>200</v>
      </c>
      <c r="C504" s="21" t="s">
        <v>196</v>
      </c>
      <c r="D504" s="11" t="s">
        <v>534</v>
      </c>
      <c r="E504" s="22"/>
      <c r="F504" s="24">
        <f aca="true" t="shared" si="51" ref="F504:H505">F505</f>
        <v>0</v>
      </c>
      <c r="G504" s="24">
        <f t="shared" si="51"/>
        <v>15</v>
      </c>
      <c r="H504" s="24">
        <f t="shared" si="51"/>
        <v>15</v>
      </c>
      <c r="I504" s="152">
        <f t="shared" si="46"/>
        <v>100</v>
      </c>
    </row>
    <row r="505" spans="1:9" ht="31.5">
      <c r="A505" s="12" t="s">
        <v>536</v>
      </c>
      <c r="B505" s="21" t="s">
        <v>200</v>
      </c>
      <c r="C505" s="21" t="s">
        <v>196</v>
      </c>
      <c r="D505" s="11" t="s">
        <v>535</v>
      </c>
      <c r="E505" s="22"/>
      <c r="F505" s="24">
        <f t="shared" si="51"/>
        <v>0</v>
      </c>
      <c r="G505" s="24">
        <f t="shared" si="51"/>
        <v>15</v>
      </c>
      <c r="H505" s="24">
        <f t="shared" si="51"/>
        <v>15</v>
      </c>
      <c r="I505" s="152">
        <f t="shared" si="46"/>
        <v>100</v>
      </c>
    </row>
    <row r="506" spans="1:9" ht="15.75">
      <c r="A506" s="45" t="s">
        <v>292</v>
      </c>
      <c r="B506" s="21" t="s">
        <v>200</v>
      </c>
      <c r="C506" s="21" t="s">
        <v>196</v>
      </c>
      <c r="D506" s="11" t="s">
        <v>535</v>
      </c>
      <c r="E506" s="22" t="s">
        <v>274</v>
      </c>
      <c r="F506" s="24">
        <v>0</v>
      </c>
      <c r="G506" s="24">
        <v>15</v>
      </c>
      <c r="H506" s="24">
        <v>15</v>
      </c>
      <c r="I506" s="152">
        <f t="shared" si="46"/>
        <v>100</v>
      </c>
    </row>
    <row r="507" spans="1:9" ht="15.75">
      <c r="A507" s="9" t="s">
        <v>230</v>
      </c>
      <c r="B507" s="21" t="s">
        <v>200</v>
      </c>
      <c r="C507" s="21" t="s">
        <v>196</v>
      </c>
      <c r="D507" s="11" t="s">
        <v>286</v>
      </c>
      <c r="E507" s="22"/>
      <c r="F507" s="4">
        <f>F510+F508</f>
        <v>26645</v>
      </c>
      <c r="G507" s="4">
        <f>G510+G508</f>
        <v>26645</v>
      </c>
      <c r="H507" s="4">
        <f>H510+H508</f>
        <v>26634</v>
      </c>
      <c r="I507" s="152">
        <f t="shared" si="46"/>
        <v>99.95871645712141</v>
      </c>
    </row>
    <row r="508" spans="1:9" ht="31.5">
      <c r="A508" s="9" t="s">
        <v>592</v>
      </c>
      <c r="B508" s="21" t="s">
        <v>200</v>
      </c>
      <c r="C508" s="21" t="s">
        <v>196</v>
      </c>
      <c r="D508" s="11" t="s">
        <v>593</v>
      </c>
      <c r="E508" s="22"/>
      <c r="F508" s="4">
        <f>F509</f>
        <v>26645</v>
      </c>
      <c r="G508" s="4">
        <f>G509</f>
        <v>26645</v>
      </c>
      <c r="H508" s="4">
        <f>H509</f>
        <v>26634</v>
      </c>
      <c r="I508" s="152">
        <f t="shared" si="46"/>
        <v>99.95871645712141</v>
      </c>
    </row>
    <row r="509" spans="1:9" ht="15.75">
      <c r="A509" s="9" t="s">
        <v>309</v>
      </c>
      <c r="B509" s="21" t="s">
        <v>200</v>
      </c>
      <c r="C509" s="21" t="s">
        <v>196</v>
      </c>
      <c r="D509" s="11" t="s">
        <v>593</v>
      </c>
      <c r="E509" s="22" t="s">
        <v>310</v>
      </c>
      <c r="F509" s="4">
        <f>41645-15000</f>
        <v>26645</v>
      </c>
      <c r="G509" s="4">
        <f>41645-15000</f>
        <v>26645</v>
      </c>
      <c r="H509" s="4">
        <v>26634</v>
      </c>
      <c r="I509" s="152">
        <f t="shared" si="46"/>
        <v>99.95871645712141</v>
      </c>
    </row>
    <row r="510" spans="1:9" ht="12" customHeight="1">
      <c r="A510" s="95"/>
      <c r="B510" s="52"/>
      <c r="C510" s="52"/>
      <c r="D510" s="53"/>
      <c r="E510" s="46"/>
      <c r="F510" s="81"/>
      <c r="G510" s="81"/>
      <c r="H510" s="81"/>
      <c r="I510" s="152"/>
    </row>
    <row r="511" spans="1:9" ht="15.75">
      <c r="A511" s="27" t="s">
        <v>341</v>
      </c>
      <c r="B511" s="28" t="s">
        <v>200</v>
      </c>
      <c r="C511" s="28" t="s">
        <v>200</v>
      </c>
      <c r="D511" s="82"/>
      <c r="E511" s="30"/>
      <c r="F511" s="7">
        <f>F521+F516+F512</f>
        <v>60898</v>
      </c>
      <c r="G511" s="7">
        <f>G521+G516+G512</f>
        <v>65878</v>
      </c>
      <c r="H511" s="7">
        <f>H521+H516+H512</f>
        <v>65356</v>
      </c>
      <c r="I511" s="154">
        <f t="shared" si="46"/>
        <v>99.20762621816084</v>
      </c>
    </row>
    <row r="512" spans="1:9" ht="15.75">
      <c r="A512" s="15" t="s">
        <v>187</v>
      </c>
      <c r="B512" s="21" t="s">
        <v>200</v>
      </c>
      <c r="C512" s="21" t="s">
        <v>200</v>
      </c>
      <c r="D512" s="21" t="s">
        <v>256</v>
      </c>
      <c r="E512" s="22"/>
      <c r="F512" s="6">
        <f aca="true" t="shared" si="52" ref="F512:H514">F513</f>
        <v>0</v>
      </c>
      <c r="G512" s="6">
        <f t="shared" si="52"/>
        <v>540</v>
      </c>
      <c r="H512" s="6">
        <f t="shared" si="52"/>
        <v>540</v>
      </c>
      <c r="I512" s="152">
        <f t="shared" si="46"/>
        <v>100</v>
      </c>
    </row>
    <row r="513" spans="1:9" ht="15.75">
      <c r="A513" s="12" t="s">
        <v>257</v>
      </c>
      <c r="B513" s="21" t="s">
        <v>200</v>
      </c>
      <c r="C513" s="21" t="s">
        <v>200</v>
      </c>
      <c r="D513" s="21" t="s">
        <v>258</v>
      </c>
      <c r="E513" s="22"/>
      <c r="F513" s="6">
        <f t="shared" si="52"/>
        <v>0</v>
      </c>
      <c r="G513" s="6">
        <f t="shared" si="52"/>
        <v>540</v>
      </c>
      <c r="H513" s="6">
        <f t="shared" si="52"/>
        <v>540</v>
      </c>
      <c r="I513" s="152">
        <f t="shared" si="46"/>
        <v>100</v>
      </c>
    </row>
    <row r="514" spans="1:9" ht="15.75">
      <c r="A514" s="32" t="s">
        <v>434</v>
      </c>
      <c r="B514" s="21" t="s">
        <v>200</v>
      </c>
      <c r="C514" s="21" t="s">
        <v>200</v>
      </c>
      <c r="D514" s="21" t="s">
        <v>259</v>
      </c>
      <c r="E514" s="22"/>
      <c r="F514" s="6">
        <f t="shared" si="52"/>
        <v>0</v>
      </c>
      <c r="G514" s="6">
        <f t="shared" si="52"/>
        <v>540</v>
      </c>
      <c r="H514" s="6">
        <f t="shared" si="52"/>
        <v>540</v>
      </c>
      <c r="I514" s="152">
        <f t="shared" si="46"/>
        <v>100</v>
      </c>
    </row>
    <row r="515" spans="1:9" ht="15.75">
      <c r="A515" s="20" t="s">
        <v>243</v>
      </c>
      <c r="B515" s="21" t="s">
        <v>200</v>
      </c>
      <c r="C515" s="21" t="s">
        <v>200</v>
      </c>
      <c r="D515" s="21" t="s">
        <v>260</v>
      </c>
      <c r="E515" s="19" t="s">
        <v>244</v>
      </c>
      <c r="F515" s="6">
        <v>0</v>
      </c>
      <c r="G515" s="6">
        <v>540</v>
      </c>
      <c r="H515" s="6">
        <v>540</v>
      </c>
      <c r="I515" s="152">
        <f t="shared" si="46"/>
        <v>100</v>
      </c>
    </row>
    <row r="516" spans="1:9" ht="15.75">
      <c r="A516" s="26" t="s">
        <v>510</v>
      </c>
      <c r="B516" s="23" t="s">
        <v>200</v>
      </c>
      <c r="C516" s="23" t="s">
        <v>200</v>
      </c>
      <c r="D516" s="114" t="s">
        <v>481</v>
      </c>
      <c r="E516" s="16"/>
      <c r="F516" s="112">
        <f>F517+F519</f>
        <v>44279</v>
      </c>
      <c r="G516" s="112">
        <f>G517+G519</f>
        <v>48670</v>
      </c>
      <c r="H516" s="112">
        <f>H517+H519</f>
        <v>48669</v>
      </c>
      <c r="I516" s="152">
        <f t="shared" si="46"/>
        <v>99.99794534620916</v>
      </c>
    </row>
    <row r="517" spans="1:9" ht="47.25">
      <c r="A517" s="26" t="s">
        <v>511</v>
      </c>
      <c r="B517" s="23" t="s">
        <v>200</v>
      </c>
      <c r="C517" s="23" t="s">
        <v>200</v>
      </c>
      <c r="D517" s="114" t="s">
        <v>528</v>
      </c>
      <c r="E517" s="16"/>
      <c r="F517" s="112">
        <f>F518</f>
        <v>44279</v>
      </c>
      <c r="G517" s="112">
        <f>G518</f>
        <v>48240</v>
      </c>
      <c r="H517" s="112">
        <f>H518</f>
        <v>48239</v>
      </c>
      <c r="I517" s="152">
        <f t="shared" si="46"/>
        <v>99.99792703150912</v>
      </c>
    </row>
    <row r="518" spans="1:9" ht="32.25" customHeight="1">
      <c r="A518" s="20" t="s">
        <v>342</v>
      </c>
      <c r="B518" s="23" t="s">
        <v>200</v>
      </c>
      <c r="C518" s="23" t="s">
        <v>200</v>
      </c>
      <c r="D518" s="114" t="s">
        <v>528</v>
      </c>
      <c r="E518" s="16" t="s">
        <v>184</v>
      </c>
      <c r="F518" s="112">
        <f>44279</f>
        <v>44279</v>
      </c>
      <c r="G518" s="112">
        <v>48240</v>
      </c>
      <c r="H518" s="112">
        <v>48239</v>
      </c>
      <c r="I518" s="152">
        <f t="shared" si="46"/>
        <v>99.99792703150912</v>
      </c>
    </row>
    <row r="519" spans="1:9" ht="31.5">
      <c r="A519" s="15" t="s">
        <v>160</v>
      </c>
      <c r="B519" s="21" t="s">
        <v>200</v>
      </c>
      <c r="C519" s="21" t="s">
        <v>200</v>
      </c>
      <c r="D519" s="11" t="s">
        <v>159</v>
      </c>
      <c r="E519" s="22"/>
      <c r="F519" s="112">
        <f>F520</f>
        <v>0</v>
      </c>
      <c r="G519" s="112">
        <f>G520</f>
        <v>430</v>
      </c>
      <c r="H519" s="112">
        <f>H520</f>
        <v>430</v>
      </c>
      <c r="I519" s="152">
        <f t="shared" si="46"/>
        <v>100</v>
      </c>
    </row>
    <row r="520" spans="1:9" ht="15.75">
      <c r="A520" s="45" t="s">
        <v>292</v>
      </c>
      <c r="B520" s="21" t="s">
        <v>200</v>
      </c>
      <c r="C520" s="21" t="s">
        <v>200</v>
      </c>
      <c r="D520" s="11" t="s">
        <v>159</v>
      </c>
      <c r="E520" s="22" t="s">
        <v>274</v>
      </c>
      <c r="F520" s="112">
        <v>0</v>
      </c>
      <c r="G520" s="112">
        <v>430</v>
      </c>
      <c r="H520" s="112">
        <v>430</v>
      </c>
      <c r="I520" s="152">
        <f t="shared" si="46"/>
        <v>100</v>
      </c>
    </row>
    <row r="521" spans="1:9" ht="15.75">
      <c r="A521" s="9" t="s">
        <v>230</v>
      </c>
      <c r="B521" s="21" t="s">
        <v>200</v>
      </c>
      <c r="C521" s="21" t="s">
        <v>200</v>
      </c>
      <c r="D521" s="11" t="s">
        <v>286</v>
      </c>
      <c r="E521" s="22"/>
      <c r="F521" s="4">
        <f>F522+F524+F527</f>
        <v>16619</v>
      </c>
      <c r="G521" s="4">
        <f>G522+G524+G527</f>
        <v>16668</v>
      </c>
      <c r="H521" s="4">
        <f>H522+H524+H527</f>
        <v>16147</v>
      </c>
      <c r="I521" s="152">
        <f t="shared" si="46"/>
        <v>96.8742500599952</v>
      </c>
    </row>
    <row r="522" spans="1:9" ht="31.5">
      <c r="A522" s="45" t="s">
        <v>506</v>
      </c>
      <c r="B522" s="21" t="s">
        <v>200</v>
      </c>
      <c r="C522" s="21" t="s">
        <v>200</v>
      </c>
      <c r="D522" s="18" t="s">
        <v>363</v>
      </c>
      <c r="E522" s="22"/>
      <c r="F522" s="4">
        <f>F523</f>
        <v>15675</v>
      </c>
      <c r="G522" s="4">
        <f>G523</f>
        <v>15675</v>
      </c>
      <c r="H522" s="4">
        <f>H523</f>
        <v>15154</v>
      </c>
      <c r="I522" s="152">
        <f t="shared" si="46"/>
        <v>96.67623604465709</v>
      </c>
    </row>
    <row r="523" spans="1:9" ht="32.25" customHeight="1">
      <c r="A523" s="20" t="s">
        <v>342</v>
      </c>
      <c r="B523" s="17" t="s">
        <v>200</v>
      </c>
      <c r="C523" s="17" t="s">
        <v>200</v>
      </c>
      <c r="D523" s="18" t="s">
        <v>363</v>
      </c>
      <c r="E523" s="19" t="s">
        <v>184</v>
      </c>
      <c r="F523" s="24">
        <f>5637+10038</f>
        <v>15675</v>
      </c>
      <c r="G523" s="24">
        <f>5637+10038</f>
        <v>15675</v>
      </c>
      <c r="H523" s="24">
        <v>15154</v>
      </c>
      <c r="I523" s="152">
        <f t="shared" si="46"/>
        <v>96.67623604465709</v>
      </c>
    </row>
    <row r="524" spans="1:9" ht="31.5">
      <c r="A524" s="15" t="s">
        <v>507</v>
      </c>
      <c r="B524" s="21" t="s">
        <v>200</v>
      </c>
      <c r="C524" s="21" t="s">
        <v>200</v>
      </c>
      <c r="D524" s="11" t="s">
        <v>343</v>
      </c>
      <c r="E524" s="22"/>
      <c r="F524" s="4">
        <f>F525+F526</f>
        <v>782</v>
      </c>
      <c r="G524" s="4">
        <f>G525+G526</f>
        <v>805</v>
      </c>
      <c r="H524" s="4">
        <f>H525+H526</f>
        <v>805</v>
      </c>
      <c r="I524" s="152">
        <f t="shared" si="46"/>
        <v>100</v>
      </c>
    </row>
    <row r="525" spans="1:9" ht="15.75">
      <c r="A525" s="45" t="s">
        <v>292</v>
      </c>
      <c r="B525" s="17" t="s">
        <v>200</v>
      </c>
      <c r="C525" s="17" t="s">
        <v>200</v>
      </c>
      <c r="D525" s="18" t="s">
        <v>343</v>
      </c>
      <c r="E525" s="19" t="s">
        <v>274</v>
      </c>
      <c r="F525" s="24">
        <f>77</f>
        <v>77</v>
      </c>
      <c r="G525" s="24">
        <f>77</f>
        <v>77</v>
      </c>
      <c r="H525" s="24">
        <f>77</f>
        <v>77</v>
      </c>
      <c r="I525" s="152">
        <f t="shared" si="46"/>
        <v>100</v>
      </c>
    </row>
    <row r="526" spans="1:9" ht="15.75">
      <c r="A526" s="20" t="s">
        <v>243</v>
      </c>
      <c r="B526" s="17" t="s">
        <v>200</v>
      </c>
      <c r="C526" s="17" t="s">
        <v>200</v>
      </c>
      <c r="D526" s="18" t="s">
        <v>343</v>
      </c>
      <c r="E526" s="19" t="s">
        <v>244</v>
      </c>
      <c r="F526" s="24">
        <f>705</f>
        <v>705</v>
      </c>
      <c r="G526" s="24">
        <v>728</v>
      </c>
      <c r="H526" s="24">
        <v>728</v>
      </c>
      <c r="I526" s="152">
        <f t="shared" si="46"/>
        <v>100</v>
      </c>
    </row>
    <row r="527" spans="1:9" ht="31.5">
      <c r="A527" s="26" t="s">
        <v>596</v>
      </c>
      <c r="B527" s="17" t="s">
        <v>200</v>
      </c>
      <c r="C527" s="17" t="s">
        <v>200</v>
      </c>
      <c r="D527" s="17" t="s">
        <v>597</v>
      </c>
      <c r="E527" s="19"/>
      <c r="F527" s="112">
        <f>F528</f>
        <v>162</v>
      </c>
      <c r="G527" s="112">
        <f>G528</f>
        <v>188</v>
      </c>
      <c r="H527" s="112">
        <f>H528</f>
        <v>188</v>
      </c>
      <c r="I527" s="152">
        <f t="shared" si="46"/>
        <v>100</v>
      </c>
    </row>
    <row r="528" spans="1:9" ht="15.75">
      <c r="A528" s="20" t="s">
        <v>243</v>
      </c>
      <c r="B528" s="17" t="s">
        <v>200</v>
      </c>
      <c r="C528" s="17" t="s">
        <v>200</v>
      </c>
      <c r="D528" s="17" t="s">
        <v>597</v>
      </c>
      <c r="E528" s="19" t="s">
        <v>244</v>
      </c>
      <c r="F528" s="112">
        <f>162</f>
        <v>162</v>
      </c>
      <c r="G528" s="112">
        <v>188</v>
      </c>
      <c r="H528" s="112">
        <v>188</v>
      </c>
      <c r="I528" s="152">
        <f t="shared" si="46"/>
        <v>100</v>
      </c>
    </row>
    <row r="529" spans="1:9" ht="12" customHeight="1">
      <c r="A529" s="12"/>
      <c r="B529" s="21"/>
      <c r="C529" s="21"/>
      <c r="D529" s="11"/>
      <c r="E529" s="22"/>
      <c r="F529" s="4"/>
      <c r="G529" s="4"/>
      <c r="H529" s="4"/>
      <c r="I529" s="152"/>
    </row>
    <row r="530" spans="1:9" ht="15.75">
      <c r="A530" s="27" t="s">
        <v>344</v>
      </c>
      <c r="B530" s="28" t="s">
        <v>200</v>
      </c>
      <c r="C530" s="28" t="s">
        <v>202</v>
      </c>
      <c r="D530" s="35"/>
      <c r="E530" s="36"/>
      <c r="F530" s="7">
        <f>F531+F538+F541+F554+F549+F534</f>
        <v>81501</v>
      </c>
      <c r="G530" s="7">
        <f>G531+G538+G541+G554+G549+G534</f>
        <v>82447</v>
      </c>
      <c r="H530" s="7">
        <f>H531+H538+H541+H554+H549+H534</f>
        <v>82180</v>
      </c>
      <c r="I530" s="154">
        <f t="shared" si="46"/>
        <v>99.67615559086444</v>
      </c>
    </row>
    <row r="531" spans="1:9" ht="47.25">
      <c r="A531" s="9" t="s">
        <v>240</v>
      </c>
      <c r="B531" s="21" t="s">
        <v>200</v>
      </c>
      <c r="C531" s="21" t="s">
        <v>202</v>
      </c>
      <c r="D531" s="21" t="s">
        <v>241</v>
      </c>
      <c r="E531" s="22"/>
      <c r="F531" s="4">
        <f aca="true" t="shared" si="53" ref="F531:H532">F532</f>
        <v>22553</v>
      </c>
      <c r="G531" s="4">
        <f t="shared" si="53"/>
        <v>22553</v>
      </c>
      <c r="H531" s="4">
        <f t="shared" si="53"/>
        <v>22553</v>
      </c>
      <c r="I531" s="152">
        <f t="shared" si="46"/>
        <v>100</v>
      </c>
    </row>
    <row r="532" spans="1:9" ht="15.75">
      <c r="A532" s="12" t="s">
        <v>181</v>
      </c>
      <c r="B532" s="21" t="s">
        <v>200</v>
      </c>
      <c r="C532" s="21" t="s">
        <v>202</v>
      </c>
      <c r="D532" s="21" t="s">
        <v>247</v>
      </c>
      <c r="E532" s="22"/>
      <c r="F532" s="4">
        <f t="shared" si="53"/>
        <v>22553</v>
      </c>
      <c r="G532" s="4">
        <f t="shared" si="53"/>
        <v>22553</v>
      </c>
      <c r="H532" s="4">
        <f t="shared" si="53"/>
        <v>22553</v>
      </c>
      <c r="I532" s="152">
        <f t="shared" si="46"/>
        <v>100</v>
      </c>
    </row>
    <row r="533" spans="1:9" ht="15.75">
      <c r="A533" s="20" t="s">
        <v>243</v>
      </c>
      <c r="B533" s="21" t="s">
        <v>200</v>
      </c>
      <c r="C533" s="21" t="s">
        <v>202</v>
      </c>
      <c r="D533" s="21" t="s">
        <v>247</v>
      </c>
      <c r="E533" s="22" t="s">
        <v>244</v>
      </c>
      <c r="F533" s="4">
        <f>20940+1300+313</f>
        <v>22553</v>
      </c>
      <c r="G533" s="4">
        <f>20940+1300+313</f>
        <v>22553</v>
      </c>
      <c r="H533" s="4">
        <f>20940+1300+313</f>
        <v>22553</v>
      </c>
      <c r="I533" s="152">
        <f t="shared" si="46"/>
        <v>100</v>
      </c>
    </row>
    <row r="534" spans="1:9" ht="15.75">
      <c r="A534" s="15" t="s">
        <v>187</v>
      </c>
      <c r="B534" s="21" t="s">
        <v>200</v>
      </c>
      <c r="C534" s="34" t="s">
        <v>202</v>
      </c>
      <c r="D534" s="21" t="s">
        <v>256</v>
      </c>
      <c r="E534" s="22"/>
      <c r="F534" s="4">
        <f aca="true" t="shared" si="54" ref="F534:H536">F535</f>
        <v>0</v>
      </c>
      <c r="G534" s="4">
        <f t="shared" si="54"/>
        <v>5</v>
      </c>
      <c r="H534" s="4">
        <f t="shared" si="54"/>
        <v>5</v>
      </c>
      <c r="I534" s="152">
        <f t="shared" si="46"/>
        <v>100</v>
      </c>
    </row>
    <row r="535" spans="1:9" ht="15.75">
      <c r="A535" s="12" t="s">
        <v>257</v>
      </c>
      <c r="B535" s="21" t="s">
        <v>200</v>
      </c>
      <c r="C535" s="34" t="s">
        <v>202</v>
      </c>
      <c r="D535" s="21" t="s">
        <v>258</v>
      </c>
      <c r="E535" s="22"/>
      <c r="F535" s="4">
        <f t="shared" si="54"/>
        <v>0</v>
      </c>
      <c r="G535" s="4">
        <f t="shared" si="54"/>
        <v>5</v>
      </c>
      <c r="H535" s="4">
        <f t="shared" si="54"/>
        <v>5</v>
      </c>
      <c r="I535" s="152">
        <f t="shared" si="46"/>
        <v>100</v>
      </c>
    </row>
    <row r="536" spans="1:9" ht="15.75">
      <c r="A536" s="32" t="s">
        <v>434</v>
      </c>
      <c r="B536" s="21" t="s">
        <v>200</v>
      </c>
      <c r="C536" s="34" t="s">
        <v>202</v>
      </c>
      <c r="D536" s="21" t="s">
        <v>259</v>
      </c>
      <c r="E536" s="22"/>
      <c r="F536" s="4">
        <f t="shared" si="54"/>
        <v>0</v>
      </c>
      <c r="G536" s="4">
        <f t="shared" si="54"/>
        <v>5</v>
      </c>
      <c r="H536" s="4">
        <f t="shared" si="54"/>
        <v>5</v>
      </c>
      <c r="I536" s="152">
        <f t="shared" si="46"/>
        <v>100</v>
      </c>
    </row>
    <row r="537" spans="1:9" ht="15.75">
      <c r="A537" s="45" t="s">
        <v>292</v>
      </c>
      <c r="B537" s="21" t="s">
        <v>200</v>
      </c>
      <c r="C537" s="34" t="s">
        <v>202</v>
      </c>
      <c r="D537" s="21" t="s">
        <v>260</v>
      </c>
      <c r="E537" s="22" t="s">
        <v>274</v>
      </c>
      <c r="F537" s="4">
        <v>0</v>
      </c>
      <c r="G537" s="4">
        <v>5</v>
      </c>
      <c r="H537" s="4">
        <v>5</v>
      </c>
      <c r="I537" s="152">
        <f t="shared" si="46"/>
        <v>100</v>
      </c>
    </row>
    <row r="538" spans="1:9" ht="31.5">
      <c r="A538" s="15" t="s">
        <v>182</v>
      </c>
      <c r="B538" s="21" t="s">
        <v>200</v>
      </c>
      <c r="C538" s="21" t="s">
        <v>202</v>
      </c>
      <c r="D538" s="11" t="s">
        <v>345</v>
      </c>
      <c r="E538" s="22"/>
      <c r="F538" s="4">
        <f aca="true" t="shared" si="55" ref="F538:H539">F539</f>
        <v>12039</v>
      </c>
      <c r="G538" s="4">
        <f t="shared" si="55"/>
        <v>12085</v>
      </c>
      <c r="H538" s="4">
        <f t="shared" si="55"/>
        <v>11962</v>
      </c>
      <c r="I538" s="152">
        <f t="shared" si="46"/>
        <v>98.98220935043443</v>
      </c>
    </row>
    <row r="539" spans="1:9" ht="15.75">
      <c r="A539" s="12" t="s">
        <v>176</v>
      </c>
      <c r="B539" s="21" t="s">
        <v>200</v>
      </c>
      <c r="C539" s="21" t="s">
        <v>202</v>
      </c>
      <c r="D539" s="11" t="s">
        <v>346</v>
      </c>
      <c r="E539" s="22"/>
      <c r="F539" s="4">
        <f t="shared" si="55"/>
        <v>12039</v>
      </c>
      <c r="G539" s="4">
        <f t="shared" si="55"/>
        <v>12085</v>
      </c>
      <c r="H539" s="4">
        <f t="shared" si="55"/>
        <v>11962</v>
      </c>
      <c r="I539" s="152">
        <f t="shared" si="46"/>
        <v>98.98220935043443</v>
      </c>
    </row>
    <row r="540" spans="1:9" ht="15.75">
      <c r="A540" s="45" t="s">
        <v>292</v>
      </c>
      <c r="B540" s="21" t="s">
        <v>200</v>
      </c>
      <c r="C540" s="21" t="s">
        <v>202</v>
      </c>
      <c r="D540" s="11" t="s">
        <v>346</v>
      </c>
      <c r="E540" s="22" t="s">
        <v>274</v>
      </c>
      <c r="F540" s="4">
        <f>10703+640+457-14-7+260</f>
        <v>12039</v>
      </c>
      <c r="G540" s="4">
        <v>12085</v>
      </c>
      <c r="H540" s="4">
        <v>11962</v>
      </c>
      <c r="I540" s="152">
        <f t="shared" si="46"/>
        <v>98.98220935043443</v>
      </c>
    </row>
    <row r="541" spans="1:9" ht="16.5" customHeight="1">
      <c r="A541" s="15" t="s">
        <v>183</v>
      </c>
      <c r="B541" s="21" t="s">
        <v>200</v>
      </c>
      <c r="C541" s="21" t="s">
        <v>202</v>
      </c>
      <c r="D541" s="11" t="s">
        <v>347</v>
      </c>
      <c r="E541" s="22"/>
      <c r="F541" s="4">
        <f>F542+F545</f>
        <v>2497</v>
      </c>
      <c r="G541" s="4">
        <f>G542+G545</f>
        <v>2497</v>
      </c>
      <c r="H541" s="4">
        <f>H542+H545</f>
        <v>2497</v>
      </c>
      <c r="I541" s="152">
        <f t="shared" si="46"/>
        <v>100</v>
      </c>
    </row>
    <row r="542" spans="1:9" ht="15.75">
      <c r="A542" s="12" t="s">
        <v>218</v>
      </c>
      <c r="B542" s="21" t="s">
        <v>200</v>
      </c>
      <c r="C542" s="21" t="s">
        <v>202</v>
      </c>
      <c r="D542" s="11" t="s">
        <v>348</v>
      </c>
      <c r="E542" s="22"/>
      <c r="F542" s="4">
        <f>F543+F544</f>
        <v>302</v>
      </c>
      <c r="G542" s="4">
        <f>G543+G544</f>
        <v>286</v>
      </c>
      <c r="H542" s="4">
        <f>H543+H544</f>
        <v>286</v>
      </c>
      <c r="I542" s="152">
        <f t="shared" si="46"/>
        <v>100</v>
      </c>
    </row>
    <row r="543" spans="1:9" ht="15.75">
      <c r="A543" s="45" t="s">
        <v>292</v>
      </c>
      <c r="B543" s="21" t="s">
        <v>200</v>
      </c>
      <c r="C543" s="21" t="s">
        <v>202</v>
      </c>
      <c r="D543" s="11" t="s">
        <v>348</v>
      </c>
      <c r="E543" s="22" t="s">
        <v>274</v>
      </c>
      <c r="F543" s="4">
        <f>161+18</f>
        <v>179</v>
      </c>
      <c r="G543" s="4">
        <v>153</v>
      </c>
      <c r="H543" s="4">
        <v>153</v>
      </c>
      <c r="I543" s="152">
        <f t="shared" si="46"/>
        <v>100</v>
      </c>
    </row>
    <row r="544" spans="1:9" ht="15.75">
      <c r="A544" s="20" t="s">
        <v>243</v>
      </c>
      <c r="B544" s="17" t="s">
        <v>200</v>
      </c>
      <c r="C544" s="17" t="s">
        <v>202</v>
      </c>
      <c r="D544" s="18" t="s">
        <v>348</v>
      </c>
      <c r="E544" s="19" t="s">
        <v>244</v>
      </c>
      <c r="F544" s="4">
        <f>123</f>
        <v>123</v>
      </c>
      <c r="G544" s="4">
        <v>133</v>
      </c>
      <c r="H544" s="4">
        <v>133</v>
      </c>
      <c r="I544" s="152">
        <f t="shared" si="46"/>
        <v>100</v>
      </c>
    </row>
    <row r="545" spans="1:9" ht="15.75">
      <c r="A545" s="20" t="s">
        <v>576</v>
      </c>
      <c r="B545" s="17" t="s">
        <v>200</v>
      </c>
      <c r="C545" s="17" t="s">
        <v>202</v>
      </c>
      <c r="D545" s="18" t="s">
        <v>562</v>
      </c>
      <c r="E545" s="19"/>
      <c r="F545" s="24">
        <f>F546+F548+F547</f>
        <v>2195</v>
      </c>
      <c r="G545" s="24">
        <f>G546+G548+G547</f>
        <v>2211</v>
      </c>
      <c r="H545" s="24">
        <f>H546+H548+H547</f>
        <v>2211</v>
      </c>
      <c r="I545" s="152">
        <f aca="true" t="shared" si="56" ref="I545:I608">H545/G545*100</f>
        <v>100</v>
      </c>
    </row>
    <row r="546" spans="1:9" ht="15.75">
      <c r="A546" s="20" t="s">
        <v>292</v>
      </c>
      <c r="B546" s="17" t="s">
        <v>200</v>
      </c>
      <c r="C546" s="17" t="s">
        <v>202</v>
      </c>
      <c r="D546" s="18" t="s">
        <v>562</v>
      </c>
      <c r="E546" s="19" t="s">
        <v>274</v>
      </c>
      <c r="F546" s="24">
        <f>125+273</f>
        <v>398</v>
      </c>
      <c r="G546" s="24">
        <v>441</v>
      </c>
      <c r="H546" s="24">
        <v>441</v>
      </c>
      <c r="I546" s="152">
        <f t="shared" si="56"/>
        <v>100</v>
      </c>
    </row>
    <row r="547" spans="1:9" ht="15.75">
      <c r="A547" s="45" t="s">
        <v>254</v>
      </c>
      <c r="B547" s="17" t="s">
        <v>200</v>
      </c>
      <c r="C547" s="17" t="s">
        <v>202</v>
      </c>
      <c r="D547" s="18" t="s">
        <v>562</v>
      </c>
      <c r="E547" s="19" t="s">
        <v>255</v>
      </c>
      <c r="F547" s="24">
        <f>671</f>
        <v>671</v>
      </c>
      <c r="G547" s="24">
        <f>671</f>
        <v>671</v>
      </c>
      <c r="H547" s="24">
        <f>671</f>
        <v>671</v>
      </c>
      <c r="I547" s="152">
        <f t="shared" si="56"/>
        <v>100</v>
      </c>
    </row>
    <row r="548" spans="1:9" ht="15.75">
      <c r="A548" s="20" t="s">
        <v>243</v>
      </c>
      <c r="B548" s="17" t="s">
        <v>200</v>
      </c>
      <c r="C548" s="17" t="s">
        <v>202</v>
      </c>
      <c r="D548" s="18" t="s">
        <v>562</v>
      </c>
      <c r="E548" s="19" t="s">
        <v>244</v>
      </c>
      <c r="F548" s="24">
        <f>1417-291</f>
        <v>1126</v>
      </c>
      <c r="G548" s="24">
        <v>1099</v>
      </c>
      <c r="H548" s="24">
        <v>1099</v>
      </c>
      <c r="I548" s="152">
        <f t="shared" si="56"/>
        <v>100</v>
      </c>
    </row>
    <row r="549" spans="1:9" ht="15.75">
      <c r="A549" s="20" t="s">
        <v>63</v>
      </c>
      <c r="B549" s="17" t="s">
        <v>200</v>
      </c>
      <c r="C549" s="17" t="s">
        <v>202</v>
      </c>
      <c r="D549" s="18" t="s">
        <v>481</v>
      </c>
      <c r="E549" s="19"/>
      <c r="F549" s="24">
        <f>F550</f>
        <v>564</v>
      </c>
      <c r="G549" s="24">
        <f>G550</f>
        <v>697</v>
      </c>
      <c r="H549" s="24">
        <f>H550</f>
        <v>677</v>
      </c>
      <c r="I549" s="152">
        <f t="shared" si="56"/>
        <v>97.13055954088952</v>
      </c>
    </row>
    <row r="550" spans="1:9" ht="47.25">
      <c r="A550" s="20" t="s">
        <v>64</v>
      </c>
      <c r="B550" s="17" t="s">
        <v>200</v>
      </c>
      <c r="C550" s="17" t="s">
        <v>202</v>
      </c>
      <c r="D550" s="18" t="s">
        <v>528</v>
      </c>
      <c r="E550" s="19"/>
      <c r="F550" s="24">
        <f>F551+F553+F552</f>
        <v>564</v>
      </c>
      <c r="G550" s="24">
        <f>G551+G553+G552</f>
        <v>697</v>
      </c>
      <c r="H550" s="24">
        <f>H551+H553+H552</f>
        <v>677</v>
      </c>
      <c r="I550" s="152">
        <f t="shared" si="56"/>
        <v>97.13055954088952</v>
      </c>
    </row>
    <row r="551" spans="1:9" ht="15.75">
      <c r="A551" s="20" t="s">
        <v>292</v>
      </c>
      <c r="B551" s="17" t="s">
        <v>200</v>
      </c>
      <c r="C551" s="17" t="s">
        <v>202</v>
      </c>
      <c r="D551" s="18" t="s">
        <v>528</v>
      </c>
      <c r="E551" s="19" t="s">
        <v>274</v>
      </c>
      <c r="F551" s="24">
        <v>441</v>
      </c>
      <c r="G551" s="24">
        <v>529</v>
      </c>
      <c r="H551" s="24">
        <v>510</v>
      </c>
      <c r="I551" s="152">
        <f t="shared" si="56"/>
        <v>96.40831758034027</v>
      </c>
    </row>
    <row r="552" spans="1:9" ht="15.75">
      <c r="A552" s="20" t="s">
        <v>349</v>
      </c>
      <c r="B552" s="17" t="s">
        <v>200</v>
      </c>
      <c r="C552" s="17" t="s">
        <v>202</v>
      </c>
      <c r="D552" s="18" t="s">
        <v>528</v>
      </c>
      <c r="E552" s="19" t="s">
        <v>350</v>
      </c>
      <c r="F552" s="24">
        <v>0</v>
      </c>
      <c r="G552" s="24">
        <v>45</v>
      </c>
      <c r="H552" s="24">
        <v>45</v>
      </c>
      <c r="I552" s="152">
        <f t="shared" si="56"/>
        <v>100</v>
      </c>
    </row>
    <row r="553" spans="1:9" ht="15.75">
      <c r="A553" s="20" t="s">
        <v>243</v>
      </c>
      <c r="B553" s="17" t="s">
        <v>200</v>
      </c>
      <c r="C553" s="17" t="s">
        <v>202</v>
      </c>
      <c r="D553" s="18" t="s">
        <v>65</v>
      </c>
      <c r="E553" s="19" t="s">
        <v>244</v>
      </c>
      <c r="F553" s="24">
        <v>123</v>
      </c>
      <c r="G553" s="24">
        <v>123</v>
      </c>
      <c r="H553" s="24">
        <v>122</v>
      </c>
      <c r="I553" s="152">
        <f t="shared" si="56"/>
        <v>99.1869918699187</v>
      </c>
    </row>
    <row r="554" spans="1:9" ht="15.75">
      <c r="A554" s="9" t="s">
        <v>230</v>
      </c>
      <c r="B554" s="21" t="s">
        <v>200</v>
      </c>
      <c r="C554" s="21" t="s">
        <v>202</v>
      </c>
      <c r="D554" s="11" t="s">
        <v>286</v>
      </c>
      <c r="E554" s="22"/>
      <c r="F554" s="4">
        <f>F555+F558+F563+F567+F574+F581+F583+F570+F561+F565+F572</f>
        <v>43848</v>
      </c>
      <c r="G554" s="4">
        <f>G555+G558+G563+G567+G574+G581+G583+G570+G561+G565+G572</f>
        <v>44610</v>
      </c>
      <c r="H554" s="4">
        <f>H555+H558+H563+H567+H574+H581+H583+H570+H561+H565+H572</f>
        <v>44486</v>
      </c>
      <c r="I554" s="152">
        <f t="shared" si="56"/>
        <v>99.7220354180677</v>
      </c>
    </row>
    <row r="555" spans="1:9" ht="31.5">
      <c r="A555" s="9" t="s">
        <v>508</v>
      </c>
      <c r="B555" s="17" t="s">
        <v>200</v>
      </c>
      <c r="C555" s="17" t="s">
        <v>202</v>
      </c>
      <c r="D555" s="21" t="s">
        <v>362</v>
      </c>
      <c r="E555" s="19"/>
      <c r="F555" s="4">
        <f>F557+F556</f>
        <v>445</v>
      </c>
      <c r="G555" s="4">
        <f>G557+G556</f>
        <v>493</v>
      </c>
      <c r="H555" s="4">
        <f>H557+H556</f>
        <v>493</v>
      </c>
      <c r="I555" s="152">
        <f t="shared" si="56"/>
        <v>100</v>
      </c>
    </row>
    <row r="556" spans="1:9" ht="15.75">
      <c r="A556" s="45" t="s">
        <v>292</v>
      </c>
      <c r="B556" s="17" t="s">
        <v>200</v>
      </c>
      <c r="C556" s="17" t="s">
        <v>202</v>
      </c>
      <c r="D556" s="21" t="s">
        <v>362</v>
      </c>
      <c r="E556" s="19" t="s">
        <v>274</v>
      </c>
      <c r="F556" s="4">
        <f>100</f>
        <v>100</v>
      </c>
      <c r="G556" s="4">
        <f>100</f>
        <v>100</v>
      </c>
      <c r="H556" s="4">
        <f>100</f>
        <v>100</v>
      </c>
      <c r="I556" s="152">
        <f t="shared" si="56"/>
        <v>100</v>
      </c>
    </row>
    <row r="557" spans="1:9" ht="15.75">
      <c r="A557" s="20" t="s">
        <v>349</v>
      </c>
      <c r="B557" s="17" t="s">
        <v>200</v>
      </c>
      <c r="C557" s="17" t="s">
        <v>202</v>
      </c>
      <c r="D557" s="21" t="s">
        <v>362</v>
      </c>
      <c r="E557" s="19" t="s">
        <v>350</v>
      </c>
      <c r="F557" s="4">
        <f>345</f>
        <v>345</v>
      </c>
      <c r="G557" s="4">
        <v>393</v>
      </c>
      <c r="H557" s="4">
        <v>393</v>
      </c>
      <c r="I557" s="152">
        <f t="shared" si="56"/>
        <v>100</v>
      </c>
    </row>
    <row r="558" spans="1:9" ht="31.5">
      <c r="A558" s="20" t="s">
        <v>524</v>
      </c>
      <c r="B558" s="17" t="s">
        <v>200</v>
      </c>
      <c r="C558" s="17" t="s">
        <v>202</v>
      </c>
      <c r="D558" s="17" t="s">
        <v>351</v>
      </c>
      <c r="E558" s="19"/>
      <c r="F558" s="24">
        <f>F559+F560</f>
        <v>1745</v>
      </c>
      <c r="G558" s="24">
        <f>G559+G560</f>
        <v>1873</v>
      </c>
      <c r="H558" s="24">
        <f>H559+H560</f>
        <v>1873</v>
      </c>
      <c r="I558" s="152">
        <f t="shared" si="56"/>
        <v>100</v>
      </c>
    </row>
    <row r="559" spans="1:9" ht="15.75">
      <c r="A559" s="45" t="s">
        <v>292</v>
      </c>
      <c r="B559" s="17" t="s">
        <v>200</v>
      </c>
      <c r="C559" s="17" t="s">
        <v>202</v>
      </c>
      <c r="D559" s="17" t="s">
        <v>351</v>
      </c>
      <c r="E559" s="19" t="s">
        <v>274</v>
      </c>
      <c r="F559" s="24">
        <f>1745</f>
        <v>1745</v>
      </c>
      <c r="G559" s="24">
        <f>1745</f>
        <v>1745</v>
      </c>
      <c r="H559" s="24">
        <f>1745</f>
        <v>1745</v>
      </c>
      <c r="I559" s="152">
        <f t="shared" si="56"/>
        <v>100</v>
      </c>
    </row>
    <row r="560" spans="1:9" ht="15.75">
      <c r="A560" s="26" t="s">
        <v>284</v>
      </c>
      <c r="B560" s="17" t="s">
        <v>200</v>
      </c>
      <c r="C560" s="17" t="s">
        <v>202</v>
      </c>
      <c r="D560" s="17" t="s">
        <v>351</v>
      </c>
      <c r="E560" s="19" t="s">
        <v>180</v>
      </c>
      <c r="F560" s="24">
        <v>0</v>
      </c>
      <c r="G560" s="24">
        <v>128</v>
      </c>
      <c r="H560" s="24">
        <v>128</v>
      </c>
      <c r="I560" s="152">
        <f t="shared" si="56"/>
        <v>100</v>
      </c>
    </row>
    <row r="561" spans="1:9" ht="31.5">
      <c r="A561" s="45" t="s">
        <v>506</v>
      </c>
      <c r="B561" s="34" t="s">
        <v>200</v>
      </c>
      <c r="C561" s="34" t="s">
        <v>202</v>
      </c>
      <c r="D561" s="18" t="s">
        <v>363</v>
      </c>
      <c r="E561" s="19"/>
      <c r="F561" s="104">
        <f>F562</f>
        <v>53</v>
      </c>
      <c r="G561" s="104">
        <f>G562</f>
        <v>53</v>
      </c>
      <c r="H561" s="104">
        <f>H562</f>
        <v>53</v>
      </c>
      <c r="I561" s="152">
        <f t="shared" si="56"/>
        <v>100</v>
      </c>
    </row>
    <row r="562" spans="1:10" ht="15.75">
      <c r="A562" s="20" t="s">
        <v>243</v>
      </c>
      <c r="B562" s="21" t="s">
        <v>200</v>
      </c>
      <c r="C562" s="21" t="s">
        <v>202</v>
      </c>
      <c r="D562" s="11" t="s">
        <v>363</v>
      </c>
      <c r="E562" s="19" t="s">
        <v>244</v>
      </c>
      <c r="F562" s="104">
        <f>53</f>
        <v>53</v>
      </c>
      <c r="G562" s="104">
        <f>53</f>
        <v>53</v>
      </c>
      <c r="H562" s="104">
        <f>53</f>
        <v>53</v>
      </c>
      <c r="I562" s="152">
        <f t="shared" si="56"/>
        <v>100</v>
      </c>
      <c r="J562" s="121"/>
    </row>
    <row r="563" spans="1:9" ht="31.5">
      <c r="A563" s="15" t="s">
        <v>507</v>
      </c>
      <c r="B563" s="17" t="s">
        <v>200</v>
      </c>
      <c r="C563" s="17" t="s">
        <v>202</v>
      </c>
      <c r="D563" s="18" t="s">
        <v>343</v>
      </c>
      <c r="E563" s="19"/>
      <c r="F563" s="4">
        <f>F564</f>
        <v>15</v>
      </c>
      <c r="G563" s="4">
        <f>G564</f>
        <v>10</v>
      </c>
      <c r="H563" s="4">
        <f>H564</f>
        <v>10</v>
      </c>
      <c r="I563" s="152">
        <f t="shared" si="56"/>
        <v>100</v>
      </c>
    </row>
    <row r="564" spans="1:9" ht="15.75">
      <c r="A564" s="20" t="s">
        <v>349</v>
      </c>
      <c r="B564" s="17" t="s">
        <v>200</v>
      </c>
      <c r="C564" s="17" t="s">
        <v>202</v>
      </c>
      <c r="D564" s="18" t="s">
        <v>343</v>
      </c>
      <c r="E564" s="19" t="s">
        <v>350</v>
      </c>
      <c r="F564" s="4">
        <f>15</f>
        <v>15</v>
      </c>
      <c r="G564" s="4">
        <v>10</v>
      </c>
      <c r="H564" s="4">
        <v>10</v>
      </c>
      <c r="I564" s="152">
        <f t="shared" si="56"/>
        <v>100</v>
      </c>
    </row>
    <row r="565" spans="1:9" ht="31.5">
      <c r="A565" s="26" t="s">
        <v>596</v>
      </c>
      <c r="B565" s="21" t="s">
        <v>200</v>
      </c>
      <c r="C565" s="21" t="s">
        <v>202</v>
      </c>
      <c r="D565" s="11" t="s">
        <v>597</v>
      </c>
      <c r="E565" s="19"/>
      <c r="F565" s="104">
        <f>F566</f>
        <v>102</v>
      </c>
      <c r="G565" s="104">
        <f>G566</f>
        <v>102</v>
      </c>
      <c r="H565" s="104">
        <f>H566</f>
        <v>102</v>
      </c>
      <c r="I565" s="152">
        <f t="shared" si="56"/>
        <v>100</v>
      </c>
    </row>
    <row r="566" spans="1:9" ht="15.75">
      <c r="A566" s="45" t="s">
        <v>292</v>
      </c>
      <c r="B566" s="21" t="s">
        <v>200</v>
      </c>
      <c r="C566" s="21" t="s">
        <v>202</v>
      </c>
      <c r="D566" s="11" t="s">
        <v>597</v>
      </c>
      <c r="E566" s="19" t="s">
        <v>274</v>
      </c>
      <c r="F566" s="104">
        <f>102</f>
        <v>102</v>
      </c>
      <c r="G566" s="104">
        <f>102</f>
        <v>102</v>
      </c>
      <c r="H566" s="104">
        <f>102</f>
        <v>102</v>
      </c>
      <c r="I566" s="152">
        <f t="shared" si="56"/>
        <v>100</v>
      </c>
    </row>
    <row r="567" spans="1:9" ht="49.5" customHeight="1">
      <c r="A567" s="20" t="s">
        <v>539</v>
      </c>
      <c r="B567" s="17" t="s">
        <v>200</v>
      </c>
      <c r="C567" s="17" t="s">
        <v>202</v>
      </c>
      <c r="D567" s="18" t="s">
        <v>509</v>
      </c>
      <c r="E567" s="19"/>
      <c r="F567" s="4">
        <f>F568+F569</f>
        <v>5178</v>
      </c>
      <c r="G567" s="4">
        <f>G568+G569</f>
        <v>5674</v>
      </c>
      <c r="H567" s="4">
        <f>H568+H569</f>
        <v>5663</v>
      </c>
      <c r="I567" s="152">
        <f t="shared" si="56"/>
        <v>99.80613323933733</v>
      </c>
    </row>
    <row r="568" spans="1:9" ht="15.75">
      <c r="A568" s="45" t="s">
        <v>292</v>
      </c>
      <c r="B568" s="17" t="s">
        <v>200</v>
      </c>
      <c r="C568" s="17" t="s">
        <v>202</v>
      </c>
      <c r="D568" s="18" t="s">
        <v>509</v>
      </c>
      <c r="E568" s="19" t="s">
        <v>274</v>
      </c>
      <c r="F568" s="4">
        <f>4765+22+137</f>
        <v>4924</v>
      </c>
      <c r="G568" s="4">
        <v>5674</v>
      </c>
      <c r="H568" s="4">
        <v>5663</v>
      </c>
      <c r="I568" s="152">
        <f t="shared" si="56"/>
        <v>99.80613323933733</v>
      </c>
    </row>
    <row r="569" spans="1:9" ht="15.75" hidden="1">
      <c r="A569" s="20" t="s">
        <v>243</v>
      </c>
      <c r="B569" s="17" t="s">
        <v>200</v>
      </c>
      <c r="C569" s="17" t="s">
        <v>202</v>
      </c>
      <c r="D569" s="18" t="s">
        <v>509</v>
      </c>
      <c r="E569" s="19" t="s">
        <v>244</v>
      </c>
      <c r="F569" s="4">
        <f>254</f>
        <v>254</v>
      </c>
      <c r="G569" s="4">
        <v>0</v>
      </c>
      <c r="H569" s="4">
        <v>0</v>
      </c>
      <c r="I569" s="152">
        <v>0</v>
      </c>
    </row>
    <row r="570" spans="1:9" ht="49.5" customHeight="1">
      <c r="A570" s="20" t="s">
        <v>594</v>
      </c>
      <c r="B570" s="17" t="s">
        <v>200</v>
      </c>
      <c r="C570" s="17" t="s">
        <v>202</v>
      </c>
      <c r="D570" s="18" t="s">
        <v>353</v>
      </c>
      <c r="E570" s="19"/>
      <c r="F570" s="24">
        <f>F571</f>
        <v>20000</v>
      </c>
      <c r="G570" s="24">
        <f>G571</f>
        <v>20000</v>
      </c>
      <c r="H570" s="24">
        <f>H571</f>
        <v>19988</v>
      </c>
      <c r="I570" s="152">
        <f t="shared" si="56"/>
        <v>99.94</v>
      </c>
    </row>
    <row r="571" spans="1:9" ht="15.75">
      <c r="A571" s="45" t="s">
        <v>292</v>
      </c>
      <c r="B571" s="17" t="s">
        <v>200</v>
      </c>
      <c r="C571" s="17" t="s">
        <v>202</v>
      </c>
      <c r="D571" s="18" t="s">
        <v>353</v>
      </c>
      <c r="E571" s="19" t="s">
        <v>274</v>
      </c>
      <c r="F571" s="24">
        <f>20000</f>
        <v>20000</v>
      </c>
      <c r="G571" s="24">
        <f>20000</f>
        <v>20000</v>
      </c>
      <c r="H571" s="24">
        <v>19988</v>
      </c>
      <c r="I571" s="152">
        <f t="shared" si="56"/>
        <v>99.94</v>
      </c>
    </row>
    <row r="572" spans="1:9" ht="31.5">
      <c r="A572" s="20" t="s">
        <v>599</v>
      </c>
      <c r="B572" s="17" t="s">
        <v>200</v>
      </c>
      <c r="C572" s="17" t="s">
        <v>202</v>
      </c>
      <c r="D572" s="18" t="s">
        <v>405</v>
      </c>
      <c r="E572" s="19"/>
      <c r="F572" s="24">
        <f>F573</f>
        <v>0</v>
      </c>
      <c r="G572" s="24">
        <f>G573</f>
        <v>109</v>
      </c>
      <c r="H572" s="24">
        <f>H573</f>
        <v>109</v>
      </c>
      <c r="I572" s="152">
        <f t="shared" si="56"/>
        <v>100</v>
      </c>
    </row>
    <row r="573" spans="1:9" ht="15.75">
      <c r="A573" s="45" t="s">
        <v>292</v>
      </c>
      <c r="B573" s="17" t="s">
        <v>200</v>
      </c>
      <c r="C573" s="17" t="s">
        <v>202</v>
      </c>
      <c r="D573" s="18" t="s">
        <v>161</v>
      </c>
      <c r="E573" s="19" t="s">
        <v>274</v>
      </c>
      <c r="F573" s="24">
        <v>0</v>
      </c>
      <c r="G573" s="24">
        <v>109</v>
      </c>
      <c r="H573" s="24">
        <v>109</v>
      </c>
      <c r="I573" s="152">
        <f t="shared" si="56"/>
        <v>100</v>
      </c>
    </row>
    <row r="574" spans="1:9" ht="31.5">
      <c r="A574" s="26" t="s">
        <v>595</v>
      </c>
      <c r="B574" s="17" t="s">
        <v>200</v>
      </c>
      <c r="C574" s="17" t="s">
        <v>202</v>
      </c>
      <c r="D574" s="18" t="s">
        <v>329</v>
      </c>
      <c r="E574" s="19"/>
      <c r="F574" s="24">
        <f>F575+F577+F579</f>
        <v>16173</v>
      </c>
      <c r="G574" s="24">
        <f>G575+G577+G579</f>
        <v>16192</v>
      </c>
      <c r="H574" s="24">
        <f>H575+H577+H579</f>
        <v>16092</v>
      </c>
      <c r="I574" s="152">
        <f t="shared" si="56"/>
        <v>99.38241106719367</v>
      </c>
    </row>
    <row r="575" spans="1:9" ht="31.5">
      <c r="A575" s="26" t="s">
        <v>631</v>
      </c>
      <c r="B575" s="17" t="s">
        <v>200</v>
      </c>
      <c r="C575" s="17" t="s">
        <v>202</v>
      </c>
      <c r="D575" s="18" t="s">
        <v>419</v>
      </c>
      <c r="E575" s="19"/>
      <c r="F575" s="24">
        <f>F576</f>
        <v>15753</v>
      </c>
      <c r="G575" s="24">
        <f>G576</f>
        <v>15753</v>
      </c>
      <c r="H575" s="24">
        <f>H576</f>
        <v>15653</v>
      </c>
      <c r="I575" s="152">
        <f t="shared" si="56"/>
        <v>99.36520027931188</v>
      </c>
    </row>
    <row r="576" spans="1:9" ht="15.75">
      <c r="A576" s="20" t="s">
        <v>243</v>
      </c>
      <c r="B576" s="17" t="s">
        <v>200</v>
      </c>
      <c r="C576" s="17" t="s">
        <v>202</v>
      </c>
      <c r="D576" s="18" t="s">
        <v>419</v>
      </c>
      <c r="E576" s="19" t="s">
        <v>244</v>
      </c>
      <c r="F576" s="24">
        <f>17530-1777</f>
        <v>15753</v>
      </c>
      <c r="G576" s="24">
        <f>17530-1777</f>
        <v>15753</v>
      </c>
      <c r="H576" s="24">
        <v>15653</v>
      </c>
      <c r="I576" s="152">
        <f t="shared" si="56"/>
        <v>99.36520027931188</v>
      </c>
    </row>
    <row r="577" spans="1:9" ht="15.75">
      <c r="A577" s="26" t="s">
        <v>629</v>
      </c>
      <c r="B577" s="17" t="s">
        <v>200</v>
      </c>
      <c r="C577" s="17" t="s">
        <v>202</v>
      </c>
      <c r="D577" s="18" t="s">
        <v>630</v>
      </c>
      <c r="E577" s="19"/>
      <c r="F577" s="115">
        <f>F578</f>
        <v>250</v>
      </c>
      <c r="G577" s="115">
        <f>G578</f>
        <v>269</v>
      </c>
      <c r="H577" s="115">
        <f>H578</f>
        <v>269</v>
      </c>
      <c r="I577" s="152">
        <f t="shared" si="56"/>
        <v>100</v>
      </c>
    </row>
    <row r="578" spans="1:9" ht="15.75">
      <c r="A578" s="45" t="s">
        <v>292</v>
      </c>
      <c r="B578" s="17" t="s">
        <v>200</v>
      </c>
      <c r="C578" s="17" t="s">
        <v>202</v>
      </c>
      <c r="D578" s="18" t="s">
        <v>630</v>
      </c>
      <c r="E578" s="19" t="s">
        <v>274</v>
      </c>
      <c r="F578" s="115">
        <f>250</f>
        <v>250</v>
      </c>
      <c r="G578" s="115">
        <v>269</v>
      </c>
      <c r="H578" s="115">
        <v>269</v>
      </c>
      <c r="I578" s="152">
        <f t="shared" si="56"/>
        <v>100</v>
      </c>
    </row>
    <row r="579" spans="1:9" ht="15.75">
      <c r="A579" s="26" t="s">
        <v>628</v>
      </c>
      <c r="B579" s="17" t="s">
        <v>200</v>
      </c>
      <c r="C579" s="17" t="s">
        <v>202</v>
      </c>
      <c r="D579" s="18" t="s">
        <v>420</v>
      </c>
      <c r="E579" s="19"/>
      <c r="F579" s="24">
        <f>F580</f>
        <v>170</v>
      </c>
      <c r="G579" s="24">
        <f>G580</f>
        <v>170</v>
      </c>
      <c r="H579" s="24">
        <f>H580</f>
        <v>170</v>
      </c>
      <c r="I579" s="152">
        <f t="shared" si="56"/>
        <v>100</v>
      </c>
    </row>
    <row r="580" spans="1:9" ht="15.75">
      <c r="A580" s="45" t="s">
        <v>292</v>
      </c>
      <c r="B580" s="17" t="s">
        <v>200</v>
      </c>
      <c r="C580" s="17" t="s">
        <v>202</v>
      </c>
      <c r="D580" s="18" t="s">
        <v>420</v>
      </c>
      <c r="E580" s="19" t="s">
        <v>274</v>
      </c>
      <c r="F580" s="24">
        <f>170</f>
        <v>170</v>
      </c>
      <c r="G580" s="24">
        <f>170</f>
        <v>170</v>
      </c>
      <c r="H580" s="24">
        <f>170</f>
        <v>170</v>
      </c>
      <c r="I580" s="152">
        <f t="shared" si="56"/>
        <v>100</v>
      </c>
    </row>
    <row r="581" spans="1:9" ht="32.25" customHeight="1">
      <c r="A581" s="45" t="s">
        <v>553</v>
      </c>
      <c r="B581" s="17" t="s">
        <v>200</v>
      </c>
      <c r="C581" s="17" t="s">
        <v>202</v>
      </c>
      <c r="D581" s="18" t="s">
        <v>554</v>
      </c>
      <c r="E581" s="19"/>
      <c r="F581" s="4">
        <f>F582</f>
        <v>55</v>
      </c>
      <c r="G581" s="4">
        <f>G582</f>
        <v>55</v>
      </c>
      <c r="H581" s="4">
        <f>H582</f>
        <v>55</v>
      </c>
      <c r="I581" s="152">
        <f t="shared" si="56"/>
        <v>100</v>
      </c>
    </row>
    <row r="582" spans="1:9" ht="15.75">
      <c r="A582" s="20" t="s">
        <v>349</v>
      </c>
      <c r="B582" s="17" t="s">
        <v>200</v>
      </c>
      <c r="C582" s="17" t="s">
        <v>202</v>
      </c>
      <c r="D582" s="18" t="s">
        <v>554</v>
      </c>
      <c r="E582" s="19" t="s">
        <v>350</v>
      </c>
      <c r="F582" s="4">
        <f>55</f>
        <v>55</v>
      </c>
      <c r="G582" s="4">
        <f>55</f>
        <v>55</v>
      </c>
      <c r="H582" s="4">
        <f>55</f>
        <v>55</v>
      </c>
      <c r="I582" s="152">
        <f t="shared" si="56"/>
        <v>100</v>
      </c>
    </row>
    <row r="583" spans="1:9" ht="47.25">
      <c r="A583" s="45" t="s">
        <v>530</v>
      </c>
      <c r="B583" s="34" t="s">
        <v>200</v>
      </c>
      <c r="C583" s="34" t="s">
        <v>202</v>
      </c>
      <c r="D583" s="10" t="s">
        <v>453</v>
      </c>
      <c r="E583" s="25"/>
      <c r="F583" s="4">
        <f>F584</f>
        <v>82</v>
      </c>
      <c r="G583" s="4">
        <f>G584</f>
        <v>49</v>
      </c>
      <c r="H583" s="4">
        <f>H584</f>
        <v>48</v>
      </c>
      <c r="I583" s="152">
        <f t="shared" si="56"/>
        <v>97.95918367346938</v>
      </c>
    </row>
    <row r="584" spans="1:9" ht="15.75">
      <c r="A584" s="45" t="s">
        <v>292</v>
      </c>
      <c r="B584" s="23" t="s">
        <v>200</v>
      </c>
      <c r="C584" s="23" t="s">
        <v>202</v>
      </c>
      <c r="D584" s="44" t="s">
        <v>453</v>
      </c>
      <c r="E584" s="16" t="s">
        <v>274</v>
      </c>
      <c r="F584" s="24">
        <f>96-14</f>
        <v>82</v>
      </c>
      <c r="G584" s="24">
        <v>49</v>
      </c>
      <c r="H584" s="24">
        <v>48</v>
      </c>
      <c r="I584" s="152">
        <f t="shared" si="56"/>
        <v>97.95918367346938</v>
      </c>
    </row>
    <row r="585" spans="1:9" ht="12" customHeight="1">
      <c r="A585" s="12"/>
      <c r="B585" s="34"/>
      <c r="C585" s="34"/>
      <c r="D585" s="10"/>
      <c r="E585" s="25"/>
      <c r="F585" s="13"/>
      <c r="G585" s="13"/>
      <c r="H585" s="13"/>
      <c r="I585" s="152"/>
    </row>
    <row r="586" spans="1:9" ht="15.75">
      <c r="A586" s="40" t="s">
        <v>563</v>
      </c>
      <c r="B586" s="54" t="s">
        <v>204</v>
      </c>
      <c r="C586" s="54"/>
      <c r="D586" s="55"/>
      <c r="E586" s="56"/>
      <c r="F586" s="5">
        <f>F587+F616</f>
        <v>181638</v>
      </c>
      <c r="G586" s="5">
        <f>G587+G616</f>
        <v>190159</v>
      </c>
      <c r="H586" s="5">
        <f>H587+H616</f>
        <v>186065</v>
      </c>
      <c r="I586" s="154">
        <f t="shared" si="56"/>
        <v>97.84706482469933</v>
      </c>
    </row>
    <row r="587" spans="1:9" ht="15.75">
      <c r="A587" s="27" t="s">
        <v>354</v>
      </c>
      <c r="B587" s="28" t="s">
        <v>204</v>
      </c>
      <c r="C587" s="28" t="s">
        <v>195</v>
      </c>
      <c r="D587" s="29"/>
      <c r="E587" s="30"/>
      <c r="F587" s="7">
        <f>F596+F600+F610+F588</f>
        <v>165469</v>
      </c>
      <c r="G587" s="7">
        <f>G596+G600+G610+G588</f>
        <v>173489</v>
      </c>
      <c r="H587" s="7">
        <f>H596+H600+H610+H588</f>
        <v>169609</v>
      </c>
      <c r="I587" s="154">
        <f t="shared" si="56"/>
        <v>97.76354696839569</v>
      </c>
    </row>
    <row r="588" spans="1:9" ht="15.75">
      <c r="A588" s="15" t="s">
        <v>187</v>
      </c>
      <c r="B588" s="21" t="s">
        <v>204</v>
      </c>
      <c r="C588" s="21" t="s">
        <v>195</v>
      </c>
      <c r="D588" s="10" t="s">
        <v>256</v>
      </c>
      <c r="E588" s="25"/>
      <c r="F588" s="6">
        <f>F589+F593</f>
        <v>0</v>
      </c>
      <c r="G588" s="6">
        <f>G589+G593</f>
        <v>8084</v>
      </c>
      <c r="H588" s="6">
        <f>H589+H593</f>
        <v>6721</v>
      </c>
      <c r="I588" s="152">
        <f t="shared" si="56"/>
        <v>83.13953488372093</v>
      </c>
    </row>
    <row r="589" spans="1:9" ht="31.5">
      <c r="A589" s="146" t="s">
        <v>146</v>
      </c>
      <c r="B589" s="17" t="s">
        <v>204</v>
      </c>
      <c r="C589" s="17" t="s">
        <v>195</v>
      </c>
      <c r="D589" s="21" t="s">
        <v>144</v>
      </c>
      <c r="E589" s="22"/>
      <c r="F589" s="6">
        <f>F590</f>
        <v>0</v>
      </c>
      <c r="G589" s="6">
        <f>G590</f>
        <v>1182</v>
      </c>
      <c r="H589" s="6">
        <f>H590</f>
        <v>182</v>
      </c>
      <c r="I589" s="152">
        <f t="shared" si="56"/>
        <v>15.397631133671744</v>
      </c>
    </row>
    <row r="590" spans="1:9" ht="31.5">
      <c r="A590" s="146" t="s">
        <v>146</v>
      </c>
      <c r="B590" s="17" t="s">
        <v>204</v>
      </c>
      <c r="C590" s="17" t="s">
        <v>195</v>
      </c>
      <c r="D590" s="21" t="s">
        <v>145</v>
      </c>
      <c r="E590" s="22"/>
      <c r="F590" s="6">
        <f>F591+F592</f>
        <v>0</v>
      </c>
      <c r="G590" s="6">
        <f>G591+G592</f>
        <v>1182</v>
      </c>
      <c r="H590" s="6">
        <f>H591+H592</f>
        <v>182</v>
      </c>
      <c r="I590" s="152">
        <f t="shared" si="56"/>
        <v>15.397631133671744</v>
      </c>
    </row>
    <row r="591" spans="1:9" ht="15.75">
      <c r="A591" s="45" t="s">
        <v>292</v>
      </c>
      <c r="B591" s="21" t="s">
        <v>204</v>
      </c>
      <c r="C591" s="21" t="s">
        <v>195</v>
      </c>
      <c r="D591" s="21" t="s">
        <v>145</v>
      </c>
      <c r="E591" s="22" t="s">
        <v>274</v>
      </c>
      <c r="F591" s="6">
        <v>0</v>
      </c>
      <c r="G591" s="6">
        <v>182</v>
      </c>
      <c r="H591" s="6">
        <v>182</v>
      </c>
      <c r="I591" s="152">
        <f t="shared" si="56"/>
        <v>100</v>
      </c>
    </row>
    <row r="592" spans="1:9" ht="15.75">
      <c r="A592" s="15" t="s">
        <v>309</v>
      </c>
      <c r="B592" s="21" t="s">
        <v>204</v>
      </c>
      <c r="C592" s="21" t="s">
        <v>195</v>
      </c>
      <c r="D592" s="21" t="s">
        <v>145</v>
      </c>
      <c r="E592" s="22" t="s">
        <v>310</v>
      </c>
      <c r="F592" s="6">
        <v>0</v>
      </c>
      <c r="G592" s="6">
        <v>1000</v>
      </c>
      <c r="H592" s="6">
        <v>0</v>
      </c>
      <c r="I592" s="152">
        <f t="shared" si="56"/>
        <v>0</v>
      </c>
    </row>
    <row r="593" spans="1:9" ht="15.75">
      <c r="A593" s="12" t="s">
        <v>257</v>
      </c>
      <c r="B593" s="21" t="s">
        <v>204</v>
      </c>
      <c r="C593" s="21" t="s">
        <v>195</v>
      </c>
      <c r="D593" s="10" t="s">
        <v>258</v>
      </c>
      <c r="E593" s="25"/>
      <c r="F593" s="6">
        <f aca="true" t="shared" si="57" ref="F593:H594">F594</f>
        <v>0</v>
      </c>
      <c r="G593" s="6">
        <f t="shared" si="57"/>
        <v>6902</v>
      </c>
      <c r="H593" s="6">
        <f t="shared" si="57"/>
        <v>6539</v>
      </c>
      <c r="I593" s="152">
        <f t="shared" si="56"/>
        <v>94.74065488264272</v>
      </c>
    </row>
    <row r="594" spans="1:9" ht="15.75">
      <c r="A594" s="32" t="s">
        <v>434</v>
      </c>
      <c r="B594" s="17" t="s">
        <v>204</v>
      </c>
      <c r="C594" s="17" t="s">
        <v>195</v>
      </c>
      <c r="D594" s="10" t="s">
        <v>259</v>
      </c>
      <c r="E594" s="25"/>
      <c r="F594" s="6">
        <f t="shared" si="57"/>
        <v>0</v>
      </c>
      <c r="G594" s="6">
        <f t="shared" si="57"/>
        <v>6902</v>
      </c>
      <c r="H594" s="6">
        <f t="shared" si="57"/>
        <v>6539</v>
      </c>
      <c r="I594" s="152">
        <f t="shared" si="56"/>
        <v>94.74065488264272</v>
      </c>
    </row>
    <row r="595" spans="1:9" ht="15.75">
      <c r="A595" s="45" t="s">
        <v>292</v>
      </c>
      <c r="B595" s="17" t="s">
        <v>204</v>
      </c>
      <c r="C595" s="17" t="s">
        <v>195</v>
      </c>
      <c r="D595" s="10" t="s">
        <v>259</v>
      </c>
      <c r="E595" s="25" t="s">
        <v>274</v>
      </c>
      <c r="F595" s="6">
        <v>0</v>
      </c>
      <c r="G595" s="6">
        <v>6902</v>
      </c>
      <c r="H595" s="6">
        <v>6539</v>
      </c>
      <c r="I595" s="152">
        <f t="shared" si="56"/>
        <v>94.74065488264272</v>
      </c>
    </row>
    <row r="596" spans="1:9" ht="31.5">
      <c r="A596" s="15" t="s">
        <v>313</v>
      </c>
      <c r="B596" s="34" t="s">
        <v>204</v>
      </c>
      <c r="C596" s="34" t="s">
        <v>195</v>
      </c>
      <c r="D596" s="10" t="s">
        <v>314</v>
      </c>
      <c r="E596" s="25"/>
      <c r="F596" s="6">
        <f aca="true" t="shared" si="58" ref="F596:H598">F597</f>
        <v>3250</v>
      </c>
      <c r="G596" s="6">
        <f t="shared" si="58"/>
        <v>3254</v>
      </c>
      <c r="H596" s="6">
        <f t="shared" si="58"/>
        <v>3217</v>
      </c>
      <c r="I596" s="152">
        <f t="shared" si="56"/>
        <v>98.86293792255685</v>
      </c>
    </row>
    <row r="597" spans="1:9" ht="63">
      <c r="A597" s="70" t="s">
        <v>439</v>
      </c>
      <c r="B597" s="34" t="s">
        <v>204</v>
      </c>
      <c r="C597" s="34" t="s">
        <v>195</v>
      </c>
      <c r="D597" s="10" t="s">
        <v>441</v>
      </c>
      <c r="E597" s="25"/>
      <c r="F597" s="6">
        <f t="shared" si="58"/>
        <v>3250</v>
      </c>
      <c r="G597" s="6">
        <f t="shared" si="58"/>
        <v>3254</v>
      </c>
      <c r="H597" s="6">
        <f t="shared" si="58"/>
        <v>3217</v>
      </c>
      <c r="I597" s="152">
        <f t="shared" si="56"/>
        <v>98.86293792255685</v>
      </c>
    </row>
    <row r="598" spans="1:9" ht="31.5">
      <c r="A598" s="20" t="s">
        <v>440</v>
      </c>
      <c r="B598" s="34" t="s">
        <v>204</v>
      </c>
      <c r="C598" s="34" t="s">
        <v>195</v>
      </c>
      <c r="D598" s="44" t="s">
        <v>442</v>
      </c>
      <c r="E598" s="25"/>
      <c r="F598" s="6">
        <f t="shared" si="58"/>
        <v>3250</v>
      </c>
      <c r="G598" s="6">
        <f t="shared" si="58"/>
        <v>3254</v>
      </c>
      <c r="H598" s="6">
        <f t="shared" si="58"/>
        <v>3217</v>
      </c>
      <c r="I598" s="152">
        <f t="shared" si="56"/>
        <v>98.86293792255685</v>
      </c>
    </row>
    <row r="599" spans="1:9" ht="15.75">
      <c r="A599" s="15" t="s">
        <v>309</v>
      </c>
      <c r="B599" s="34" t="s">
        <v>204</v>
      </c>
      <c r="C599" s="34" t="s">
        <v>195</v>
      </c>
      <c r="D599" s="10" t="s">
        <v>442</v>
      </c>
      <c r="E599" s="25" t="s">
        <v>310</v>
      </c>
      <c r="F599" s="6">
        <f>16502-16502+5000-1500-250</f>
        <v>3250</v>
      </c>
      <c r="G599" s="6">
        <v>3254</v>
      </c>
      <c r="H599" s="6">
        <v>3217</v>
      </c>
      <c r="I599" s="152">
        <f t="shared" si="56"/>
        <v>98.86293792255685</v>
      </c>
    </row>
    <row r="600" spans="1:9" ht="32.25" customHeight="1">
      <c r="A600" s="15" t="s">
        <v>577</v>
      </c>
      <c r="B600" s="21" t="s">
        <v>204</v>
      </c>
      <c r="C600" s="21" t="s">
        <v>195</v>
      </c>
      <c r="D600" s="11" t="s">
        <v>355</v>
      </c>
      <c r="E600" s="22"/>
      <c r="F600" s="4">
        <f>F608+F601+F604+F606</f>
        <v>127729</v>
      </c>
      <c r="G600" s="4">
        <f>G608+G601+G604+G606</f>
        <v>127661</v>
      </c>
      <c r="H600" s="4">
        <f>H608+H601+H604+H606</f>
        <v>125240</v>
      </c>
      <c r="I600" s="152">
        <f t="shared" si="56"/>
        <v>98.10357117678853</v>
      </c>
    </row>
    <row r="601" spans="1:9" ht="15.75">
      <c r="A601" s="15" t="s">
        <v>578</v>
      </c>
      <c r="B601" s="21" t="s">
        <v>204</v>
      </c>
      <c r="C601" s="21" t="s">
        <v>195</v>
      </c>
      <c r="D601" s="11" t="s">
        <v>579</v>
      </c>
      <c r="E601" s="22"/>
      <c r="F601" s="4">
        <f>F602+F603</f>
        <v>13435</v>
      </c>
      <c r="G601" s="4">
        <f>G602+G603</f>
        <v>13435</v>
      </c>
      <c r="H601" s="4">
        <f>H602+H603</f>
        <v>13428</v>
      </c>
      <c r="I601" s="152">
        <f t="shared" si="56"/>
        <v>99.94789728321548</v>
      </c>
    </row>
    <row r="602" spans="1:9" ht="15.75">
      <c r="A602" s="45" t="s">
        <v>292</v>
      </c>
      <c r="B602" s="21" t="s">
        <v>204</v>
      </c>
      <c r="C602" s="21" t="s">
        <v>195</v>
      </c>
      <c r="D602" s="11" t="s">
        <v>579</v>
      </c>
      <c r="E602" s="22" t="s">
        <v>274</v>
      </c>
      <c r="F602" s="4">
        <f>13300</f>
        <v>13300</v>
      </c>
      <c r="G602" s="4">
        <f>13300</f>
        <v>13300</v>
      </c>
      <c r="H602" s="4">
        <v>13293</v>
      </c>
      <c r="I602" s="152">
        <f t="shared" si="56"/>
        <v>99.94736842105263</v>
      </c>
    </row>
    <row r="603" spans="1:9" ht="15.75">
      <c r="A603" s="45" t="s">
        <v>254</v>
      </c>
      <c r="B603" s="21" t="s">
        <v>204</v>
      </c>
      <c r="C603" s="21" t="s">
        <v>195</v>
      </c>
      <c r="D603" s="11" t="s">
        <v>579</v>
      </c>
      <c r="E603" s="22" t="s">
        <v>255</v>
      </c>
      <c r="F603" s="4">
        <f>120+15</f>
        <v>135</v>
      </c>
      <c r="G603" s="4">
        <f>120+15</f>
        <v>135</v>
      </c>
      <c r="H603" s="4">
        <f>120+15</f>
        <v>135</v>
      </c>
      <c r="I603" s="152">
        <f t="shared" si="56"/>
        <v>100</v>
      </c>
    </row>
    <row r="604" spans="1:9" ht="47.25">
      <c r="A604" s="15" t="s">
        <v>491</v>
      </c>
      <c r="B604" s="21" t="s">
        <v>204</v>
      </c>
      <c r="C604" s="21" t="s">
        <v>195</v>
      </c>
      <c r="D604" s="11" t="s">
        <v>580</v>
      </c>
      <c r="E604" s="22"/>
      <c r="F604" s="4">
        <f>F605</f>
        <v>89</v>
      </c>
      <c r="G604" s="4">
        <f>G605</f>
        <v>89</v>
      </c>
      <c r="H604" s="4">
        <f>H605</f>
        <v>89</v>
      </c>
      <c r="I604" s="152">
        <f t="shared" si="56"/>
        <v>100</v>
      </c>
    </row>
    <row r="605" spans="1:9" ht="15.75">
      <c r="A605" s="45" t="s">
        <v>292</v>
      </c>
      <c r="B605" s="21" t="s">
        <v>204</v>
      </c>
      <c r="C605" s="21" t="s">
        <v>195</v>
      </c>
      <c r="D605" s="11" t="s">
        <v>580</v>
      </c>
      <c r="E605" s="22" t="s">
        <v>274</v>
      </c>
      <c r="F605" s="4">
        <f>89</f>
        <v>89</v>
      </c>
      <c r="G605" s="4">
        <f>89</f>
        <v>89</v>
      </c>
      <c r="H605" s="4">
        <f>89</f>
        <v>89</v>
      </c>
      <c r="I605" s="152">
        <f t="shared" si="56"/>
        <v>100</v>
      </c>
    </row>
    <row r="606" spans="1:9" ht="15.75">
      <c r="A606" s="45" t="s">
        <v>2</v>
      </c>
      <c r="B606" s="17" t="s">
        <v>204</v>
      </c>
      <c r="C606" s="17" t="s">
        <v>195</v>
      </c>
      <c r="D606" s="18" t="s">
        <v>611</v>
      </c>
      <c r="E606" s="19"/>
      <c r="F606" s="24">
        <f>F607</f>
        <v>28015</v>
      </c>
      <c r="G606" s="24">
        <f>G607</f>
        <v>28015</v>
      </c>
      <c r="H606" s="24">
        <f>H607</f>
        <v>26149</v>
      </c>
      <c r="I606" s="152">
        <f t="shared" si="56"/>
        <v>93.33928252721756</v>
      </c>
    </row>
    <row r="607" spans="1:9" ht="15.75">
      <c r="A607" s="20" t="s">
        <v>243</v>
      </c>
      <c r="B607" s="17" t="s">
        <v>204</v>
      </c>
      <c r="C607" s="17" t="s">
        <v>195</v>
      </c>
      <c r="D607" s="18" t="s">
        <v>611</v>
      </c>
      <c r="E607" s="19" t="s">
        <v>244</v>
      </c>
      <c r="F607" s="24">
        <f>7700+21350-1035</f>
        <v>28015</v>
      </c>
      <c r="G607" s="24">
        <f>7700+21350-1035</f>
        <v>28015</v>
      </c>
      <c r="H607" s="24">
        <v>26149</v>
      </c>
      <c r="I607" s="152">
        <f t="shared" si="56"/>
        <v>93.33928252721756</v>
      </c>
    </row>
    <row r="608" spans="1:9" ht="15.75">
      <c r="A608" s="12" t="s">
        <v>176</v>
      </c>
      <c r="B608" s="21" t="s">
        <v>204</v>
      </c>
      <c r="C608" s="21" t="s">
        <v>195</v>
      </c>
      <c r="D608" s="11" t="s">
        <v>356</v>
      </c>
      <c r="E608" s="22"/>
      <c r="F608" s="4">
        <f>F609</f>
        <v>86190</v>
      </c>
      <c r="G608" s="4">
        <f>G609</f>
        <v>86122</v>
      </c>
      <c r="H608" s="4">
        <f>H609</f>
        <v>85574</v>
      </c>
      <c r="I608" s="152">
        <f t="shared" si="56"/>
        <v>99.36369336522608</v>
      </c>
    </row>
    <row r="609" spans="1:9" ht="15.75">
      <c r="A609" s="45" t="s">
        <v>292</v>
      </c>
      <c r="B609" s="21" t="s">
        <v>204</v>
      </c>
      <c r="C609" s="21" t="s">
        <v>195</v>
      </c>
      <c r="D609" s="11" t="s">
        <v>356</v>
      </c>
      <c r="E609" s="22" t="s">
        <v>274</v>
      </c>
      <c r="F609" s="4">
        <f>81681+2142+1582-726+1526-15</f>
        <v>86190</v>
      </c>
      <c r="G609" s="4">
        <v>86122</v>
      </c>
      <c r="H609" s="4">
        <v>85574</v>
      </c>
      <c r="I609" s="152">
        <f aca="true" t="shared" si="59" ref="I609:I672">H609/G609*100</f>
        <v>99.36369336522608</v>
      </c>
    </row>
    <row r="610" spans="1:9" ht="15.75">
      <c r="A610" s="15" t="s">
        <v>185</v>
      </c>
      <c r="B610" s="21" t="s">
        <v>204</v>
      </c>
      <c r="C610" s="21" t="s">
        <v>195</v>
      </c>
      <c r="D610" s="11" t="s">
        <v>357</v>
      </c>
      <c r="E610" s="22"/>
      <c r="F610" s="4">
        <f>F613+F611</f>
        <v>34490</v>
      </c>
      <c r="G610" s="4">
        <f>G613+G611</f>
        <v>34490</v>
      </c>
      <c r="H610" s="4">
        <f>H613+H611</f>
        <v>34431</v>
      </c>
      <c r="I610" s="152">
        <f t="shared" si="59"/>
        <v>99.82893592345607</v>
      </c>
    </row>
    <row r="611" spans="1:9" ht="15.75">
      <c r="A611" s="45" t="s">
        <v>2</v>
      </c>
      <c r="B611" s="17" t="s">
        <v>204</v>
      </c>
      <c r="C611" s="17" t="s">
        <v>195</v>
      </c>
      <c r="D611" s="18" t="s">
        <v>37</v>
      </c>
      <c r="E611" s="19"/>
      <c r="F611" s="4">
        <f>F612</f>
        <v>650</v>
      </c>
      <c r="G611" s="4">
        <f>G612</f>
        <v>650</v>
      </c>
      <c r="H611" s="4">
        <f>H612</f>
        <v>643</v>
      </c>
      <c r="I611" s="152">
        <f t="shared" si="59"/>
        <v>98.92307692307692</v>
      </c>
    </row>
    <row r="612" spans="1:9" ht="15.75">
      <c r="A612" s="20" t="s">
        <v>243</v>
      </c>
      <c r="B612" s="17" t="s">
        <v>204</v>
      </c>
      <c r="C612" s="17" t="s">
        <v>195</v>
      </c>
      <c r="D612" s="18" t="s">
        <v>37</v>
      </c>
      <c r="E612" s="19" t="s">
        <v>244</v>
      </c>
      <c r="F612" s="4">
        <f>650</f>
        <v>650</v>
      </c>
      <c r="G612" s="4">
        <f>650</f>
        <v>650</v>
      </c>
      <c r="H612" s="4">
        <v>643</v>
      </c>
      <c r="I612" s="152">
        <f t="shared" si="59"/>
        <v>98.92307692307692</v>
      </c>
    </row>
    <row r="613" spans="1:9" ht="15.75">
      <c r="A613" s="12" t="s">
        <v>176</v>
      </c>
      <c r="B613" s="21" t="s">
        <v>204</v>
      </c>
      <c r="C613" s="21" t="s">
        <v>195</v>
      </c>
      <c r="D613" s="11" t="s">
        <v>358</v>
      </c>
      <c r="E613" s="22" t="s">
        <v>359</v>
      </c>
      <c r="F613" s="4">
        <f>F614</f>
        <v>33840</v>
      </c>
      <c r="G613" s="4">
        <f>G614</f>
        <v>33840</v>
      </c>
      <c r="H613" s="4">
        <f>H614</f>
        <v>33788</v>
      </c>
      <c r="I613" s="152">
        <f t="shared" si="59"/>
        <v>99.84633569739952</v>
      </c>
    </row>
    <row r="614" spans="1:9" ht="15.75">
      <c r="A614" s="45" t="s">
        <v>292</v>
      </c>
      <c r="B614" s="21" t="s">
        <v>204</v>
      </c>
      <c r="C614" s="21" t="s">
        <v>195</v>
      </c>
      <c r="D614" s="11" t="s">
        <v>358</v>
      </c>
      <c r="E614" s="22" t="s">
        <v>274</v>
      </c>
      <c r="F614" s="4">
        <f>30753+895+629-61+1000+624</f>
        <v>33840</v>
      </c>
      <c r="G614" s="4">
        <f>30753+895+629-61+1000+624</f>
        <v>33840</v>
      </c>
      <c r="H614" s="4">
        <v>33788</v>
      </c>
      <c r="I614" s="152">
        <f t="shared" si="59"/>
        <v>99.84633569739952</v>
      </c>
    </row>
    <row r="615" spans="1:9" ht="12" customHeight="1">
      <c r="A615" s="15"/>
      <c r="B615" s="21"/>
      <c r="C615" s="21"/>
      <c r="D615" s="11"/>
      <c r="E615" s="22"/>
      <c r="F615" s="4"/>
      <c r="G615" s="4"/>
      <c r="H615" s="4"/>
      <c r="I615" s="152"/>
    </row>
    <row r="616" spans="1:9" ht="15.75">
      <c r="A616" s="27" t="s">
        <v>564</v>
      </c>
      <c r="B616" s="28" t="s">
        <v>204</v>
      </c>
      <c r="C616" s="28" t="s">
        <v>198</v>
      </c>
      <c r="D616" s="35"/>
      <c r="E616" s="36"/>
      <c r="F616" s="7">
        <f>F617+F624+F620</f>
        <v>16169</v>
      </c>
      <c r="G616" s="7">
        <f>G617+G624+G620</f>
        <v>16670</v>
      </c>
      <c r="H616" s="7">
        <f>H617+H624+H620</f>
        <v>16456</v>
      </c>
      <c r="I616" s="154">
        <f t="shared" si="59"/>
        <v>98.71625674865027</v>
      </c>
    </row>
    <row r="617" spans="1:9" ht="47.25">
      <c r="A617" s="9" t="s">
        <v>240</v>
      </c>
      <c r="B617" s="21" t="s">
        <v>204</v>
      </c>
      <c r="C617" s="21" t="s">
        <v>198</v>
      </c>
      <c r="D617" s="21" t="s">
        <v>241</v>
      </c>
      <c r="E617" s="22"/>
      <c r="F617" s="6">
        <f aca="true" t="shared" si="60" ref="F617:H618">F618</f>
        <v>5774</v>
      </c>
      <c r="G617" s="6">
        <f t="shared" si="60"/>
        <v>5774</v>
      </c>
      <c r="H617" s="6">
        <f t="shared" si="60"/>
        <v>5774</v>
      </c>
      <c r="I617" s="152">
        <f t="shared" si="59"/>
        <v>100</v>
      </c>
    </row>
    <row r="618" spans="1:9" ht="15.75">
      <c r="A618" s="12" t="s">
        <v>181</v>
      </c>
      <c r="B618" s="21" t="s">
        <v>204</v>
      </c>
      <c r="C618" s="21" t="s">
        <v>198</v>
      </c>
      <c r="D618" s="21" t="s">
        <v>247</v>
      </c>
      <c r="E618" s="22"/>
      <c r="F618" s="6">
        <f t="shared" si="60"/>
        <v>5774</v>
      </c>
      <c r="G618" s="6">
        <f t="shared" si="60"/>
        <v>5774</v>
      </c>
      <c r="H618" s="6">
        <f t="shared" si="60"/>
        <v>5774</v>
      </c>
      <c r="I618" s="152">
        <f t="shared" si="59"/>
        <v>100</v>
      </c>
    </row>
    <row r="619" spans="1:9" ht="15.75">
      <c r="A619" s="20" t="s">
        <v>243</v>
      </c>
      <c r="B619" s="21" t="s">
        <v>204</v>
      </c>
      <c r="C619" s="21" t="s">
        <v>198</v>
      </c>
      <c r="D619" s="21" t="s">
        <v>247</v>
      </c>
      <c r="E619" s="22" t="s">
        <v>244</v>
      </c>
      <c r="F619" s="6">
        <f>5775+350-351</f>
        <v>5774</v>
      </c>
      <c r="G619" s="6">
        <f>5775+350-351</f>
        <v>5774</v>
      </c>
      <c r="H619" s="6">
        <v>5774</v>
      </c>
      <c r="I619" s="152">
        <f t="shared" si="59"/>
        <v>100</v>
      </c>
    </row>
    <row r="620" spans="1:9" ht="15.75">
      <c r="A620" s="15" t="s">
        <v>187</v>
      </c>
      <c r="B620" s="21" t="s">
        <v>204</v>
      </c>
      <c r="C620" s="21" t="s">
        <v>198</v>
      </c>
      <c r="D620" s="21" t="s">
        <v>256</v>
      </c>
      <c r="E620" s="22"/>
      <c r="F620" s="6">
        <f aca="true" t="shared" si="61" ref="F620:H622">F621</f>
        <v>0</v>
      </c>
      <c r="G620" s="6">
        <f t="shared" si="61"/>
        <v>24</v>
      </c>
      <c r="H620" s="6">
        <f t="shared" si="61"/>
        <v>24</v>
      </c>
      <c r="I620" s="152">
        <f t="shared" si="59"/>
        <v>100</v>
      </c>
    </row>
    <row r="621" spans="1:9" ht="15.75">
      <c r="A621" s="12" t="s">
        <v>257</v>
      </c>
      <c r="B621" s="21" t="s">
        <v>204</v>
      </c>
      <c r="C621" s="21" t="s">
        <v>198</v>
      </c>
      <c r="D621" s="21" t="s">
        <v>258</v>
      </c>
      <c r="E621" s="22"/>
      <c r="F621" s="6">
        <f t="shared" si="61"/>
        <v>0</v>
      </c>
      <c r="G621" s="6">
        <f t="shared" si="61"/>
        <v>24</v>
      </c>
      <c r="H621" s="6">
        <f t="shared" si="61"/>
        <v>24</v>
      </c>
      <c r="I621" s="152">
        <f t="shared" si="59"/>
        <v>100</v>
      </c>
    </row>
    <row r="622" spans="1:9" ht="15.75">
      <c r="A622" s="32" t="s">
        <v>434</v>
      </c>
      <c r="B622" s="21" t="s">
        <v>204</v>
      </c>
      <c r="C622" s="21" t="s">
        <v>198</v>
      </c>
      <c r="D622" s="21" t="s">
        <v>259</v>
      </c>
      <c r="E622" s="22"/>
      <c r="F622" s="6">
        <f t="shared" si="61"/>
        <v>0</v>
      </c>
      <c r="G622" s="6">
        <f t="shared" si="61"/>
        <v>24</v>
      </c>
      <c r="H622" s="6">
        <f t="shared" si="61"/>
        <v>24</v>
      </c>
      <c r="I622" s="152">
        <f t="shared" si="59"/>
        <v>100</v>
      </c>
    </row>
    <row r="623" spans="1:9" ht="15.75">
      <c r="A623" s="15" t="s">
        <v>254</v>
      </c>
      <c r="B623" s="21" t="s">
        <v>204</v>
      </c>
      <c r="C623" s="21" t="s">
        <v>198</v>
      </c>
      <c r="D623" s="21" t="s">
        <v>260</v>
      </c>
      <c r="E623" s="19" t="s">
        <v>255</v>
      </c>
      <c r="F623" s="6">
        <v>0</v>
      </c>
      <c r="G623" s="6">
        <v>24</v>
      </c>
      <c r="H623" s="6">
        <v>24</v>
      </c>
      <c r="I623" s="152">
        <f t="shared" si="59"/>
        <v>100</v>
      </c>
    </row>
    <row r="624" spans="1:9" ht="15.75">
      <c r="A624" s="9" t="s">
        <v>230</v>
      </c>
      <c r="B624" s="21" t="s">
        <v>204</v>
      </c>
      <c r="C624" s="21" t="s">
        <v>198</v>
      </c>
      <c r="D624" s="21" t="s">
        <v>286</v>
      </c>
      <c r="E624" s="22"/>
      <c r="F624" s="6">
        <f>F625+F632+F635+F639+F643+F648+F650+F637+F630+F628+F641</f>
        <v>10395</v>
      </c>
      <c r="G624" s="6">
        <f>G625+G632+G635+G639+G643+G648+G650+G637+G630+G628+G641</f>
        <v>10872</v>
      </c>
      <c r="H624" s="6">
        <f>H625+H632+H635+H639+H643+H648+H650+H637+H630+H628+H641</f>
        <v>10658</v>
      </c>
      <c r="I624" s="152">
        <f t="shared" si="59"/>
        <v>98.03164091243562</v>
      </c>
    </row>
    <row r="625" spans="1:9" ht="31.5">
      <c r="A625" s="9" t="s">
        <v>508</v>
      </c>
      <c r="B625" s="21" t="s">
        <v>204</v>
      </c>
      <c r="C625" s="21" t="s">
        <v>198</v>
      </c>
      <c r="D625" s="21" t="s">
        <v>362</v>
      </c>
      <c r="E625" s="22"/>
      <c r="F625" s="6">
        <f>F626+F627</f>
        <v>3380</v>
      </c>
      <c r="G625" s="6">
        <f>G626+G627</f>
        <v>3332</v>
      </c>
      <c r="H625" s="6">
        <f>H626+H627</f>
        <v>3329</v>
      </c>
      <c r="I625" s="152">
        <f t="shared" si="59"/>
        <v>99.90996398559425</v>
      </c>
    </row>
    <row r="626" spans="1:9" ht="15.75">
      <c r="A626" s="45" t="s">
        <v>292</v>
      </c>
      <c r="B626" s="21" t="s">
        <v>204</v>
      </c>
      <c r="C626" s="21" t="s">
        <v>198</v>
      </c>
      <c r="D626" s="21" t="s">
        <v>362</v>
      </c>
      <c r="E626" s="22" t="s">
        <v>274</v>
      </c>
      <c r="F626" s="6">
        <f>505</f>
        <v>505</v>
      </c>
      <c r="G626" s="6">
        <v>570</v>
      </c>
      <c r="H626" s="6">
        <v>570</v>
      </c>
      <c r="I626" s="152">
        <f t="shared" si="59"/>
        <v>100</v>
      </c>
    </row>
    <row r="627" spans="1:9" ht="15.75">
      <c r="A627" s="26" t="s">
        <v>360</v>
      </c>
      <c r="B627" s="17" t="s">
        <v>204</v>
      </c>
      <c r="C627" s="21" t="s">
        <v>198</v>
      </c>
      <c r="D627" s="17" t="s">
        <v>362</v>
      </c>
      <c r="E627" s="19" t="s">
        <v>361</v>
      </c>
      <c r="F627" s="6">
        <f>2550+325</f>
        <v>2875</v>
      </c>
      <c r="G627" s="6">
        <v>2762</v>
      </c>
      <c r="H627" s="6">
        <v>2759</v>
      </c>
      <c r="I627" s="152">
        <f t="shared" si="59"/>
        <v>99.8913830557567</v>
      </c>
    </row>
    <row r="628" spans="1:9" ht="31.5">
      <c r="A628" s="15" t="s">
        <v>517</v>
      </c>
      <c r="B628" s="17" t="s">
        <v>204</v>
      </c>
      <c r="C628" s="34" t="s">
        <v>198</v>
      </c>
      <c r="D628" s="17" t="s">
        <v>307</v>
      </c>
      <c r="E628" s="19"/>
      <c r="F628" s="6">
        <f>F629</f>
        <v>0</v>
      </c>
      <c r="G628" s="6">
        <f>G629</f>
        <v>2</v>
      </c>
      <c r="H628" s="6">
        <f>H629</f>
        <v>2</v>
      </c>
      <c r="I628" s="152">
        <f t="shared" si="59"/>
        <v>100</v>
      </c>
    </row>
    <row r="629" spans="1:9" ht="15.75">
      <c r="A629" s="26" t="s">
        <v>360</v>
      </c>
      <c r="B629" s="17" t="s">
        <v>204</v>
      </c>
      <c r="C629" s="34" t="s">
        <v>198</v>
      </c>
      <c r="D629" s="17" t="s">
        <v>307</v>
      </c>
      <c r="E629" s="19" t="s">
        <v>361</v>
      </c>
      <c r="F629" s="6">
        <v>0</v>
      </c>
      <c r="G629" s="6">
        <v>2</v>
      </c>
      <c r="H629" s="6">
        <v>2</v>
      </c>
      <c r="I629" s="152">
        <f t="shared" si="59"/>
        <v>100</v>
      </c>
    </row>
    <row r="630" spans="1:9" ht="31.5">
      <c r="A630" s="45" t="s">
        <v>506</v>
      </c>
      <c r="B630" s="17" t="s">
        <v>204</v>
      </c>
      <c r="C630" s="21" t="s">
        <v>198</v>
      </c>
      <c r="D630" s="17" t="s">
        <v>363</v>
      </c>
      <c r="E630" s="19"/>
      <c r="F630" s="6">
        <f>F631</f>
        <v>5</v>
      </c>
      <c r="G630" s="6">
        <f>G631</f>
        <v>5</v>
      </c>
      <c r="H630" s="6">
        <f>H631</f>
        <v>5</v>
      </c>
      <c r="I630" s="152">
        <f t="shared" si="59"/>
        <v>100</v>
      </c>
    </row>
    <row r="631" spans="1:9" ht="15.75">
      <c r="A631" s="26" t="s">
        <v>360</v>
      </c>
      <c r="B631" s="17" t="s">
        <v>204</v>
      </c>
      <c r="C631" s="21" t="s">
        <v>198</v>
      </c>
      <c r="D631" s="17" t="s">
        <v>363</v>
      </c>
      <c r="E631" s="19" t="s">
        <v>361</v>
      </c>
      <c r="F631" s="6">
        <f>5</f>
        <v>5</v>
      </c>
      <c r="G631" s="6">
        <f>5</f>
        <v>5</v>
      </c>
      <c r="H631" s="6">
        <f>5</f>
        <v>5</v>
      </c>
      <c r="I631" s="152">
        <f t="shared" si="59"/>
        <v>100</v>
      </c>
    </row>
    <row r="632" spans="1:9" ht="47.25">
      <c r="A632" s="45" t="s">
        <v>512</v>
      </c>
      <c r="B632" s="17" t="s">
        <v>204</v>
      </c>
      <c r="C632" s="21" t="s">
        <v>198</v>
      </c>
      <c r="D632" s="17" t="s">
        <v>311</v>
      </c>
      <c r="E632" s="19"/>
      <c r="F632" s="6">
        <f>F634+F633</f>
        <v>1899</v>
      </c>
      <c r="G632" s="6">
        <f>G634+G633</f>
        <v>2394</v>
      </c>
      <c r="H632" s="6">
        <f>H634+H633</f>
        <v>2183</v>
      </c>
      <c r="I632" s="152">
        <f t="shared" si="59"/>
        <v>91.18629908103593</v>
      </c>
    </row>
    <row r="633" spans="1:9" ht="15.75">
      <c r="A633" s="45" t="s">
        <v>292</v>
      </c>
      <c r="B633" s="17" t="s">
        <v>204</v>
      </c>
      <c r="C633" s="21" t="s">
        <v>198</v>
      </c>
      <c r="D633" s="17" t="s">
        <v>311</v>
      </c>
      <c r="E633" s="19" t="s">
        <v>274</v>
      </c>
      <c r="F633" s="6">
        <v>0</v>
      </c>
      <c r="G633" s="6">
        <v>58</v>
      </c>
      <c r="H633" s="6">
        <v>58</v>
      </c>
      <c r="I633" s="152">
        <f t="shared" si="59"/>
        <v>100</v>
      </c>
    </row>
    <row r="634" spans="1:9" ht="15.75">
      <c r="A634" s="20" t="s">
        <v>243</v>
      </c>
      <c r="B634" s="17" t="s">
        <v>204</v>
      </c>
      <c r="C634" s="21" t="s">
        <v>198</v>
      </c>
      <c r="D634" s="17" t="s">
        <v>311</v>
      </c>
      <c r="E634" s="19" t="s">
        <v>244</v>
      </c>
      <c r="F634" s="6">
        <f>2155-256</f>
        <v>1899</v>
      </c>
      <c r="G634" s="6">
        <v>2336</v>
      </c>
      <c r="H634" s="6">
        <v>2125</v>
      </c>
      <c r="I634" s="152">
        <f t="shared" si="59"/>
        <v>90.96746575342466</v>
      </c>
    </row>
    <row r="635" spans="1:9" ht="31.5">
      <c r="A635" s="15" t="s">
        <v>507</v>
      </c>
      <c r="B635" s="17" t="s">
        <v>204</v>
      </c>
      <c r="C635" s="21" t="s">
        <v>198</v>
      </c>
      <c r="D635" s="17" t="s">
        <v>343</v>
      </c>
      <c r="E635" s="19"/>
      <c r="F635" s="6">
        <f>F636</f>
        <v>578</v>
      </c>
      <c r="G635" s="6">
        <f>G636</f>
        <v>560</v>
      </c>
      <c r="H635" s="6">
        <f>H636</f>
        <v>560</v>
      </c>
      <c r="I635" s="152">
        <f t="shared" si="59"/>
        <v>100</v>
      </c>
    </row>
    <row r="636" spans="1:9" ht="15.75">
      <c r="A636" s="26" t="s">
        <v>360</v>
      </c>
      <c r="B636" s="17" t="s">
        <v>204</v>
      </c>
      <c r="C636" s="21" t="s">
        <v>198</v>
      </c>
      <c r="D636" s="17" t="s">
        <v>343</v>
      </c>
      <c r="E636" s="19" t="s">
        <v>361</v>
      </c>
      <c r="F636" s="6">
        <f>578</f>
        <v>578</v>
      </c>
      <c r="G636" s="6">
        <v>560</v>
      </c>
      <c r="H636" s="6">
        <v>560</v>
      </c>
      <c r="I636" s="152">
        <f t="shared" si="59"/>
        <v>100</v>
      </c>
    </row>
    <row r="637" spans="1:9" ht="31.5">
      <c r="A637" s="26" t="s">
        <v>596</v>
      </c>
      <c r="B637" s="17" t="s">
        <v>204</v>
      </c>
      <c r="C637" s="17" t="s">
        <v>198</v>
      </c>
      <c r="D637" s="17" t="s">
        <v>597</v>
      </c>
      <c r="E637" s="19"/>
      <c r="F637" s="112">
        <f>F638</f>
        <v>231</v>
      </c>
      <c r="G637" s="112">
        <f>G638</f>
        <v>205</v>
      </c>
      <c r="H637" s="112">
        <f>H638</f>
        <v>205</v>
      </c>
      <c r="I637" s="152">
        <f t="shared" si="59"/>
        <v>100</v>
      </c>
    </row>
    <row r="638" spans="1:9" ht="15.75">
      <c r="A638" s="26" t="s">
        <v>360</v>
      </c>
      <c r="B638" s="17" t="s">
        <v>204</v>
      </c>
      <c r="C638" s="17" t="s">
        <v>198</v>
      </c>
      <c r="D638" s="17" t="s">
        <v>597</v>
      </c>
      <c r="E638" s="19" t="s">
        <v>361</v>
      </c>
      <c r="F638" s="112">
        <f>231</f>
        <v>231</v>
      </c>
      <c r="G638" s="112">
        <v>205</v>
      </c>
      <c r="H638" s="112">
        <v>205</v>
      </c>
      <c r="I638" s="152">
        <f t="shared" si="59"/>
        <v>100</v>
      </c>
    </row>
    <row r="639" spans="1:9" ht="47.25">
      <c r="A639" s="20" t="s">
        <v>513</v>
      </c>
      <c r="B639" s="21" t="s">
        <v>204</v>
      </c>
      <c r="C639" s="21" t="s">
        <v>198</v>
      </c>
      <c r="D639" s="18" t="s">
        <v>514</v>
      </c>
      <c r="E639" s="22"/>
      <c r="F639" s="6">
        <f>F640</f>
        <v>300</v>
      </c>
      <c r="G639" s="6">
        <f>G640</f>
        <v>300</v>
      </c>
      <c r="H639" s="6">
        <f>H640</f>
        <v>300</v>
      </c>
      <c r="I639" s="152">
        <f t="shared" si="59"/>
        <v>100</v>
      </c>
    </row>
    <row r="640" spans="1:9" ht="15.75">
      <c r="A640" s="45" t="s">
        <v>292</v>
      </c>
      <c r="B640" s="21" t="s">
        <v>204</v>
      </c>
      <c r="C640" s="21" t="s">
        <v>198</v>
      </c>
      <c r="D640" s="18" t="s">
        <v>509</v>
      </c>
      <c r="E640" s="22" t="s">
        <v>274</v>
      </c>
      <c r="F640" s="6">
        <f>300</f>
        <v>300</v>
      </c>
      <c r="G640" s="6">
        <f>300</f>
        <v>300</v>
      </c>
      <c r="H640" s="6">
        <f>300</f>
        <v>300</v>
      </c>
      <c r="I640" s="152">
        <f t="shared" si="59"/>
        <v>100</v>
      </c>
    </row>
    <row r="641" spans="1:9" ht="31.5">
      <c r="A641" s="20" t="s">
        <v>599</v>
      </c>
      <c r="B641" s="17" t="s">
        <v>204</v>
      </c>
      <c r="C641" s="17" t="s">
        <v>198</v>
      </c>
      <c r="D641" s="18" t="s">
        <v>405</v>
      </c>
      <c r="E641" s="19"/>
      <c r="F641" s="6">
        <f>F642</f>
        <v>0</v>
      </c>
      <c r="G641" s="6">
        <f>G642</f>
        <v>91</v>
      </c>
      <c r="H641" s="6">
        <f>H642</f>
        <v>91</v>
      </c>
      <c r="I641" s="152">
        <f t="shared" si="59"/>
        <v>100</v>
      </c>
    </row>
    <row r="642" spans="1:9" ht="15.75">
      <c r="A642" s="45" t="s">
        <v>292</v>
      </c>
      <c r="B642" s="17" t="s">
        <v>204</v>
      </c>
      <c r="C642" s="17" t="s">
        <v>198</v>
      </c>
      <c r="D642" s="18" t="s">
        <v>161</v>
      </c>
      <c r="E642" s="19" t="s">
        <v>274</v>
      </c>
      <c r="F642" s="6">
        <v>0</v>
      </c>
      <c r="G642" s="6">
        <v>91</v>
      </c>
      <c r="H642" s="6">
        <v>91</v>
      </c>
      <c r="I642" s="152">
        <f t="shared" si="59"/>
        <v>100</v>
      </c>
    </row>
    <row r="643" spans="1:9" ht="31.5">
      <c r="A643" s="26" t="s">
        <v>595</v>
      </c>
      <c r="B643" s="17" t="s">
        <v>204</v>
      </c>
      <c r="C643" s="17" t="s">
        <v>198</v>
      </c>
      <c r="D643" s="17" t="s">
        <v>329</v>
      </c>
      <c r="E643" s="19"/>
      <c r="F643" s="112">
        <f>F644+F646</f>
        <v>3950</v>
      </c>
      <c r="G643" s="112">
        <f>G644+G646</f>
        <v>3931</v>
      </c>
      <c r="H643" s="112">
        <f>H644+H646</f>
        <v>3931</v>
      </c>
      <c r="I643" s="152">
        <f t="shared" si="59"/>
        <v>100</v>
      </c>
    </row>
    <row r="644" spans="1:9" ht="15.75">
      <c r="A644" s="26" t="s">
        <v>632</v>
      </c>
      <c r="B644" s="17" t="s">
        <v>204</v>
      </c>
      <c r="C644" s="17" t="s">
        <v>198</v>
      </c>
      <c r="D644" s="17" t="s">
        <v>633</v>
      </c>
      <c r="E644" s="19"/>
      <c r="F644" s="112">
        <f>F645</f>
        <v>3950</v>
      </c>
      <c r="G644" s="112">
        <f>G645</f>
        <v>3849</v>
      </c>
      <c r="H644" s="112">
        <f>H645</f>
        <v>3849</v>
      </c>
      <c r="I644" s="152">
        <f t="shared" si="59"/>
        <v>100</v>
      </c>
    </row>
    <row r="645" spans="1:9" ht="15.75">
      <c r="A645" s="45" t="s">
        <v>292</v>
      </c>
      <c r="B645" s="17" t="s">
        <v>204</v>
      </c>
      <c r="C645" s="17" t="s">
        <v>198</v>
      </c>
      <c r="D645" s="17" t="s">
        <v>633</v>
      </c>
      <c r="E645" s="19" t="s">
        <v>274</v>
      </c>
      <c r="F645" s="112">
        <f>3950</f>
        <v>3950</v>
      </c>
      <c r="G645" s="112">
        <v>3849</v>
      </c>
      <c r="H645" s="112">
        <v>3849</v>
      </c>
      <c r="I645" s="152">
        <f t="shared" si="59"/>
        <v>100</v>
      </c>
    </row>
    <row r="646" spans="1:9" ht="16.5" customHeight="1">
      <c r="A646" s="45" t="s">
        <v>163</v>
      </c>
      <c r="B646" s="17" t="s">
        <v>204</v>
      </c>
      <c r="C646" s="23" t="s">
        <v>198</v>
      </c>
      <c r="D646" s="17" t="s">
        <v>162</v>
      </c>
      <c r="E646" s="19"/>
      <c r="F646" s="112">
        <f>F647</f>
        <v>0</v>
      </c>
      <c r="G646" s="112">
        <f>G647</f>
        <v>82</v>
      </c>
      <c r="H646" s="112">
        <f>H647</f>
        <v>82</v>
      </c>
      <c r="I646" s="152">
        <f t="shared" si="59"/>
        <v>100</v>
      </c>
    </row>
    <row r="647" spans="1:9" ht="15.75">
      <c r="A647" s="45" t="s">
        <v>292</v>
      </c>
      <c r="B647" s="17" t="s">
        <v>204</v>
      </c>
      <c r="C647" s="23" t="s">
        <v>198</v>
      </c>
      <c r="D647" s="17" t="s">
        <v>162</v>
      </c>
      <c r="E647" s="19" t="s">
        <v>274</v>
      </c>
      <c r="F647" s="112">
        <v>0</v>
      </c>
      <c r="G647" s="112">
        <v>82</v>
      </c>
      <c r="H647" s="112">
        <v>82</v>
      </c>
      <c r="I647" s="152">
        <f t="shared" si="59"/>
        <v>100</v>
      </c>
    </row>
    <row r="648" spans="1:9" ht="32.25" customHeight="1">
      <c r="A648" s="45" t="s">
        <v>553</v>
      </c>
      <c r="B648" s="17" t="s">
        <v>204</v>
      </c>
      <c r="C648" s="21" t="s">
        <v>198</v>
      </c>
      <c r="D648" s="17" t="s">
        <v>554</v>
      </c>
      <c r="E648" s="19"/>
      <c r="F648" s="6">
        <f>F649</f>
        <v>20</v>
      </c>
      <c r="G648" s="6">
        <f>G649</f>
        <v>20</v>
      </c>
      <c r="H648" s="6">
        <f>H649</f>
        <v>20</v>
      </c>
      <c r="I648" s="152">
        <f t="shared" si="59"/>
        <v>100</v>
      </c>
    </row>
    <row r="649" spans="1:9" ht="15.75">
      <c r="A649" s="26" t="s">
        <v>360</v>
      </c>
      <c r="B649" s="17" t="s">
        <v>204</v>
      </c>
      <c r="C649" s="21" t="s">
        <v>198</v>
      </c>
      <c r="D649" s="17" t="s">
        <v>554</v>
      </c>
      <c r="E649" s="19" t="s">
        <v>361</v>
      </c>
      <c r="F649" s="6">
        <f>20</f>
        <v>20</v>
      </c>
      <c r="G649" s="6">
        <f>20</f>
        <v>20</v>
      </c>
      <c r="H649" s="6">
        <f>20</f>
        <v>20</v>
      </c>
      <c r="I649" s="152">
        <f t="shared" si="59"/>
        <v>100</v>
      </c>
    </row>
    <row r="650" spans="1:9" ht="47.25">
      <c r="A650" s="26" t="s">
        <v>556</v>
      </c>
      <c r="B650" s="17" t="s">
        <v>204</v>
      </c>
      <c r="C650" s="21" t="s">
        <v>198</v>
      </c>
      <c r="D650" s="17" t="s">
        <v>453</v>
      </c>
      <c r="E650" s="19"/>
      <c r="F650" s="104">
        <f>F651</f>
        <v>32</v>
      </c>
      <c r="G650" s="104">
        <f>G651</f>
        <v>32</v>
      </c>
      <c r="H650" s="104">
        <f>H651</f>
        <v>32</v>
      </c>
      <c r="I650" s="152">
        <f t="shared" si="59"/>
        <v>100</v>
      </c>
    </row>
    <row r="651" spans="1:9" ht="15.75">
      <c r="A651" s="45" t="s">
        <v>292</v>
      </c>
      <c r="B651" s="17" t="s">
        <v>204</v>
      </c>
      <c r="C651" s="17" t="s">
        <v>198</v>
      </c>
      <c r="D651" s="17" t="s">
        <v>453</v>
      </c>
      <c r="E651" s="19" t="s">
        <v>274</v>
      </c>
      <c r="F651" s="115">
        <f>32</f>
        <v>32</v>
      </c>
      <c r="G651" s="115">
        <f>32</f>
        <v>32</v>
      </c>
      <c r="H651" s="115">
        <f>32</f>
        <v>32</v>
      </c>
      <c r="I651" s="152">
        <f t="shared" si="59"/>
        <v>100</v>
      </c>
    </row>
    <row r="652" spans="1:9" ht="12" customHeight="1">
      <c r="A652" s="12"/>
      <c r="B652" s="21"/>
      <c r="C652" s="21"/>
      <c r="D652" s="11"/>
      <c r="E652" s="22"/>
      <c r="F652" s="13"/>
      <c r="G652" s="13"/>
      <c r="H652" s="13"/>
      <c r="I652" s="152"/>
    </row>
    <row r="653" spans="1:9" ht="15.75">
      <c r="A653" s="40" t="s">
        <v>565</v>
      </c>
      <c r="B653" s="54" t="s">
        <v>202</v>
      </c>
      <c r="C653" s="54"/>
      <c r="D653" s="55"/>
      <c r="E653" s="56"/>
      <c r="F653" s="5">
        <f>F654+F682+F708+F719+F734</f>
        <v>837406</v>
      </c>
      <c r="G653" s="5">
        <f>G654+G682+G708+G719+G734</f>
        <v>898720</v>
      </c>
      <c r="H653" s="5">
        <f>H654+H682+H708+H719+H734</f>
        <v>857129</v>
      </c>
      <c r="I653" s="154">
        <f t="shared" si="59"/>
        <v>95.3721960121061</v>
      </c>
    </row>
    <row r="654" spans="1:9" ht="16.5" customHeight="1">
      <c r="A654" s="27" t="s">
        <v>371</v>
      </c>
      <c r="B654" s="28" t="s">
        <v>202</v>
      </c>
      <c r="C654" s="28" t="s">
        <v>195</v>
      </c>
      <c r="D654" s="35"/>
      <c r="E654" s="36"/>
      <c r="F654" s="7">
        <f>F662+F668+F677+F655+F673</f>
        <v>173062</v>
      </c>
      <c r="G654" s="7">
        <f>G662+G668+G677+G655+G673</f>
        <v>156561</v>
      </c>
      <c r="H654" s="7">
        <f>H662+H668+H677+H655+H673</f>
        <v>152916</v>
      </c>
      <c r="I654" s="154">
        <f t="shared" si="59"/>
        <v>97.67183398164295</v>
      </c>
    </row>
    <row r="655" spans="1:9" ht="15.75">
      <c r="A655" s="15" t="s">
        <v>187</v>
      </c>
      <c r="B655" s="21" t="s">
        <v>202</v>
      </c>
      <c r="C655" s="21" t="s">
        <v>195</v>
      </c>
      <c r="D655" s="10" t="s">
        <v>256</v>
      </c>
      <c r="E655" s="25"/>
      <c r="F655" s="6">
        <f>F656+F659</f>
        <v>0</v>
      </c>
      <c r="G655" s="6">
        <f>G656+G659</f>
        <v>2151</v>
      </c>
      <c r="H655" s="6">
        <f>H656+H659</f>
        <v>2151</v>
      </c>
      <c r="I655" s="152">
        <f t="shared" si="59"/>
        <v>100</v>
      </c>
    </row>
    <row r="656" spans="1:9" ht="31.5">
      <c r="A656" s="146" t="s">
        <v>146</v>
      </c>
      <c r="B656" s="17" t="s">
        <v>202</v>
      </c>
      <c r="C656" s="17" t="s">
        <v>195</v>
      </c>
      <c r="D656" s="21" t="s">
        <v>144</v>
      </c>
      <c r="E656" s="22"/>
      <c r="F656" s="6">
        <f aca="true" t="shared" si="62" ref="F656:H657">F657</f>
        <v>0</v>
      </c>
      <c r="G656" s="6">
        <f t="shared" si="62"/>
        <v>1225</v>
      </c>
      <c r="H656" s="6">
        <f t="shared" si="62"/>
        <v>1225</v>
      </c>
      <c r="I656" s="152">
        <f t="shared" si="59"/>
        <v>100</v>
      </c>
    </row>
    <row r="657" spans="1:9" ht="31.5">
      <c r="A657" s="146" t="s">
        <v>146</v>
      </c>
      <c r="B657" s="17" t="s">
        <v>202</v>
      </c>
      <c r="C657" s="17" t="s">
        <v>195</v>
      </c>
      <c r="D657" s="21" t="s">
        <v>145</v>
      </c>
      <c r="E657" s="22"/>
      <c r="F657" s="6">
        <f t="shared" si="62"/>
        <v>0</v>
      </c>
      <c r="G657" s="6">
        <f t="shared" si="62"/>
        <v>1225</v>
      </c>
      <c r="H657" s="6">
        <f t="shared" si="62"/>
        <v>1225</v>
      </c>
      <c r="I657" s="152">
        <f t="shared" si="59"/>
        <v>100</v>
      </c>
    </row>
    <row r="658" spans="1:9" ht="15.75">
      <c r="A658" s="45" t="s">
        <v>292</v>
      </c>
      <c r="B658" s="21" t="s">
        <v>202</v>
      </c>
      <c r="C658" s="21" t="s">
        <v>195</v>
      </c>
      <c r="D658" s="21" t="s">
        <v>145</v>
      </c>
      <c r="E658" s="22" t="s">
        <v>274</v>
      </c>
      <c r="F658" s="6">
        <v>0</v>
      </c>
      <c r="G658" s="6">
        <v>1225</v>
      </c>
      <c r="H658" s="6">
        <v>1225</v>
      </c>
      <c r="I658" s="152">
        <f t="shared" si="59"/>
        <v>100</v>
      </c>
    </row>
    <row r="659" spans="1:9" ht="15.75">
      <c r="A659" s="12" t="s">
        <v>257</v>
      </c>
      <c r="B659" s="21" t="s">
        <v>202</v>
      </c>
      <c r="C659" s="21" t="s">
        <v>195</v>
      </c>
      <c r="D659" s="10" t="s">
        <v>258</v>
      </c>
      <c r="E659" s="25"/>
      <c r="F659" s="6">
        <f aca="true" t="shared" si="63" ref="F659:H660">F660</f>
        <v>0</v>
      </c>
      <c r="G659" s="6">
        <f t="shared" si="63"/>
        <v>926</v>
      </c>
      <c r="H659" s="6">
        <f t="shared" si="63"/>
        <v>926</v>
      </c>
      <c r="I659" s="152">
        <f t="shared" si="59"/>
        <v>100</v>
      </c>
    </row>
    <row r="660" spans="1:9" ht="15.75">
      <c r="A660" s="32" t="s">
        <v>434</v>
      </c>
      <c r="B660" s="17" t="s">
        <v>202</v>
      </c>
      <c r="C660" s="17" t="s">
        <v>195</v>
      </c>
      <c r="D660" s="10" t="s">
        <v>259</v>
      </c>
      <c r="E660" s="25"/>
      <c r="F660" s="6">
        <f t="shared" si="63"/>
        <v>0</v>
      </c>
      <c r="G660" s="6">
        <f t="shared" si="63"/>
        <v>926</v>
      </c>
      <c r="H660" s="6">
        <f t="shared" si="63"/>
        <v>926</v>
      </c>
      <c r="I660" s="152">
        <f t="shared" si="59"/>
        <v>100</v>
      </c>
    </row>
    <row r="661" spans="1:9" ht="15.75">
      <c r="A661" s="45" t="s">
        <v>292</v>
      </c>
      <c r="B661" s="17" t="s">
        <v>202</v>
      </c>
      <c r="C661" s="17" t="s">
        <v>195</v>
      </c>
      <c r="D661" s="10" t="s">
        <v>259</v>
      </c>
      <c r="E661" s="25" t="s">
        <v>274</v>
      </c>
      <c r="F661" s="6">
        <v>0</v>
      </c>
      <c r="G661" s="6">
        <v>926</v>
      </c>
      <c r="H661" s="6">
        <v>926</v>
      </c>
      <c r="I661" s="152">
        <f t="shared" si="59"/>
        <v>100</v>
      </c>
    </row>
    <row r="662" spans="1:9" ht="15.75">
      <c r="A662" s="15" t="s">
        <v>175</v>
      </c>
      <c r="B662" s="21" t="s">
        <v>202</v>
      </c>
      <c r="C662" s="21" t="s">
        <v>195</v>
      </c>
      <c r="D662" s="11" t="s">
        <v>372</v>
      </c>
      <c r="E662" s="31"/>
      <c r="F662" s="4">
        <f>F663+F666</f>
        <v>135529</v>
      </c>
      <c r="G662" s="4">
        <f>G663+G666</f>
        <v>127336</v>
      </c>
      <c r="H662" s="4">
        <f>H663+H666</f>
        <v>125789</v>
      </c>
      <c r="I662" s="152">
        <f t="shared" si="59"/>
        <v>98.78510397688007</v>
      </c>
    </row>
    <row r="663" spans="1:9" ht="15.75">
      <c r="A663" s="45" t="s">
        <v>2</v>
      </c>
      <c r="B663" s="17" t="s">
        <v>202</v>
      </c>
      <c r="C663" s="17" t="s">
        <v>195</v>
      </c>
      <c r="D663" s="18" t="s">
        <v>613</v>
      </c>
      <c r="E663" s="19"/>
      <c r="F663" s="24">
        <f>F665+F664</f>
        <v>7140</v>
      </c>
      <c r="G663" s="24">
        <f>G665+G664</f>
        <v>7709</v>
      </c>
      <c r="H663" s="24">
        <f>H665+H664</f>
        <v>7663</v>
      </c>
      <c r="I663" s="152">
        <f t="shared" si="59"/>
        <v>99.40329485017512</v>
      </c>
    </row>
    <row r="664" spans="1:9" ht="15.75">
      <c r="A664" s="45" t="s">
        <v>292</v>
      </c>
      <c r="B664" s="17" t="s">
        <v>202</v>
      </c>
      <c r="C664" s="17" t="s">
        <v>195</v>
      </c>
      <c r="D664" s="18" t="s">
        <v>613</v>
      </c>
      <c r="E664" s="19" t="s">
        <v>274</v>
      </c>
      <c r="F664" s="24">
        <f>7119-5314</f>
        <v>1805</v>
      </c>
      <c r="G664" s="24">
        <f>7119-5314</f>
        <v>1805</v>
      </c>
      <c r="H664" s="24">
        <f>7119-5314</f>
        <v>1805</v>
      </c>
      <c r="I664" s="152">
        <f t="shared" si="59"/>
        <v>100</v>
      </c>
    </row>
    <row r="665" spans="1:9" ht="15.75">
      <c r="A665" s="20" t="s">
        <v>243</v>
      </c>
      <c r="B665" s="17" t="s">
        <v>202</v>
      </c>
      <c r="C665" s="17" t="s">
        <v>195</v>
      </c>
      <c r="D665" s="18" t="s">
        <v>613</v>
      </c>
      <c r="E665" s="19" t="s">
        <v>244</v>
      </c>
      <c r="F665" s="24">
        <f>6293-958</f>
        <v>5335</v>
      </c>
      <c r="G665" s="24">
        <v>5904</v>
      </c>
      <c r="H665" s="24">
        <v>5858</v>
      </c>
      <c r="I665" s="152">
        <f t="shared" si="59"/>
        <v>99.22086720867209</v>
      </c>
    </row>
    <row r="666" spans="1:9" ht="15.75">
      <c r="A666" s="12" t="s">
        <v>176</v>
      </c>
      <c r="B666" s="21" t="s">
        <v>202</v>
      </c>
      <c r="C666" s="21" t="s">
        <v>195</v>
      </c>
      <c r="D666" s="11" t="s">
        <v>373</v>
      </c>
      <c r="E666" s="22"/>
      <c r="F666" s="4">
        <f>F667</f>
        <v>128389</v>
      </c>
      <c r="G666" s="4">
        <f>G667</f>
        <v>119627</v>
      </c>
      <c r="H666" s="4">
        <f>H667</f>
        <v>118126</v>
      </c>
      <c r="I666" s="152">
        <f t="shared" si="59"/>
        <v>98.7452665368186</v>
      </c>
    </row>
    <row r="667" spans="1:9" ht="15.75">
      <c r="A667" s="45" t="s">
        <v>292</v>
      </c>
      <c r="B667" s="21" t="s">
        <v>202</v>
      </c>
      <c r="C667" s="21" t="s">
        <v>195</v>
      </c>
      <c r="D667" s="11" t="s">
        <v>373</v>
      </c>
      <c r="E667" s="22" t="s">
        <v>274</v>
      </c>
      <c r="F667" s="4">
        <f>196513+1692+1062-3838-300+500+180-67542+122</f>
        <v>128389</v>
      </c>
      <c r="G667" s="4">
        <v>119627</v>
      </c>
      <c r="H667" s="4">
        <v>118126</v>
      </c>
      <c r="I667" s="152">
        <f t="shared" si="59"/>
        <v>98.7452665368186</v>
      </c>
    </row>
    <row r="668" spans="1:9" ht="15.75">
      <c r="A668" s="15" t="s">
        <v>178</v>
      </c>
      <c r="B668" s="21" t="s">
        <v>202</v>
      </c>
      <c r="C668" s="21" t="s">
        <v>195</v>
      </c>
      <c r="D668" s="11" t="s">
        <v>374</v>
      </c>
      <c r="E668" s="31"/>
      <c r="F668" s="4">
        <f>F671+F669</f>
        <v>24533</v>
      </c>
      <c r="G668" s="4">
        <f>G671+G669</f>
        <v>24152</v>
      </c>
      <c r="H668" s="4">
        <f>H671+H669</f>
        <v>23684</v>
      </c>
      <c r="I668" s="152">
        <f t="shared" si="59"/>
        <v>98.06227227558794</v>
      </c>
    </row>
    <row r="669" spans="1:9" ht="15.75">
      <c r="A669" s="20" t="s">
        <v>2</v>
      </c>
      <c r="B669" s="17" t="s">
        <v>202</v>
      </c>
      <c r="C669" s="17" t="s">
        <v>195</v>
      </c>
      <c r="D669" s="18" t="s">
        <v>634</v>
      </c>
      <c r="E669" s="19"/>
      <c r="F669" s="111">
        <f>F670</f>
        <v>1461</v>
      </c>
      <c r="G669" s="111">
        <f>G670</f>
        <v>1461</v>
      </c>
      <c r="H669" s="111">
        <f>H670</f>
        <v>1430</v>
      </c>
      <c r="I669" s="152">
        <f t="shared" si="59"/>
        <v>97.87816563997262</v>
      </c>
    </row>
    <row r="670" spans="1:9" ht="15.75">
      <c r="A670" s="20" t="s">
        <v>243</v>
      </c>
      <c r="B670" s="17" t="s">
        <v>202</v>
      </c>
      <c r="C670" s="17" t="s">
        <v>195</v>
      </c>
      <c r="D670" s="18" t="s">
        <v>634</v>
      </c>
      <c r="E670" s="19" t="s">
        <v>244</v>
      </c>
      <c r="F670" s="111">
        <f>1468-7</f>
        <v>1461</v>
      </c>
      <c r="G670" s="111">
        <f>1468-7</f>
        <v>1461</v>
      </c>
      <c r="H670" s="111">
        <v>1430</v>
      </c>
      <c r="I670" s="152">
        <f t="shared" si="59"/>
        <v>97.87816563997262</v>
      </c>
    </row>
    <row r="671" spans="1:9" ht="15.75">
      <c r="A671" s="12" t="s">
        <v>176</v>
      </c>
      <c r="B671" s="21" t="s">
        <v>202</v>
      </c>
      <c r="C671" s="21" t="s">
        <v>195</v>
      </c>
      <c r="D671" s="11" t="s">
        <v>375</v>
      </c>
      <c r="E671" s="22"/>
      <c r="F671" s="4">
        <f>F672</f>
        <v>23072</v>
      </c>
      <c r="G671" s="4">
        <f>G672</f>
        <v>22691</v>
      </c>
      <c r="H671" s="4">
        <f>H672</f>
        <v>22254</v>
      </c>
      <c r="I671" s="152">
        <f t="shared" si="59"/>
        <v>98.0741263055837</v>
      </c>
    </row>
    <row r="672" spans="1:9" ht="15.75">
      <c r="A672" s="45" t="s">
        <v>292</v>
      </c>
      <c r="B672" s="21" t="s">
        <v>202</v>
      </c>
      <c r="C672" s="21" t="s">
        <v>195</v>
      </c>
      <c r="D672" s="11" t="s">
        <v>375</v>
      </c>
      <c r="E672" s="22" t="s">
        <v>274</v>
      </c>
      <c r="F672" s="4">
        <f>23686+93+67-860+40+46</f>
        <v>23072</v>
      </c>
      <c r="G672" s="4">
        <v>22691</v>
      </c>
      <c r="H672" s="4">
        <v>22254</v>
      </c>
      <c r="I672" s="152">
        <f t="shared" si="59"/>
        <v>98.0741263055837</v>
      </c>
    </row>
    <row r="673" spans="1:9" ht="15.75">
      <c r="A673" s="26" t="s">
        <v>510</v>
      </c>
      <c r="B673" s="21" t="s">
        <v>202</v>
      </c>
      <c r="C673" s="34" t="s">
        <v>195</v>
      </c>
      <c r="D673" s="10" t="s">
        <v>481</v>
      </c>
      <c r="E673" s="25"/>
      <c r="F673" s="4">
        <f aca="true" t="shared" si="64" ref="F673:H675">F674</f>
        <v>0</v>
      </c>
      <c r="G673" s="4">
        <f t="shared" si="64"/>
        <v>1630</v>
      </c>
      <c r="H673" s="4">
        <f t="shared" si="64"/>
        <v>0</v>
      </c>
      <c r="I673" s="152">
        <f aca="true" t="shared" si="65" ref="I673:I736">H673/G673*100</f>
        <v>0</v>
      </c>
    </row>
    <row r="674" spans="1:9" ht="31.5">
      <c r="A674" s="20" t="s">
        <v>167</v>
      </c>
      <c r="B674" s="21" t="s">
        <v>202</v>
      </c>
      <c r="C674" s="34" t="s">
        <v>195</v>
      </c>
      <c r="D674" s="10" t="s">
        <v>165</v>
      </c>
      <c r="E674" s="25"/>
      <c r="F674" s="4">
        <f t="shared" si="64"/>
        <v>0</v>
      </c>
      <c r="G674" s="4">
        <f t="shared" si="64"/>
        <v>1630</v>
      </c>
      <c r="H674" s="4">
        <f t="shared" si="64"/>
        <v>0</v>
      </c>
      <c r="I674" s="152">
        <f t="shared" si="65"/>
        <v>0</v>
      </c>
    </row>
    <row r="675" spans="1:9" ht="47.25">
      <c r="A675" s="20" t="s">
        <v>168</v>
      </c>
      <c r="B675" s="21" t="s">
        <v>202</v>
      </c>
      <c r="C675" s="34" t="s">
        <v>195</v>
      </c>
      <c r="D675" s="10" t="s">
        <v>166</v>
      </c>
      <c r="E675" s="25"/>
      <c r="F675" s="4">
        <f t="shared" si="64"/>
        <v>0</v>
      </c>
      <c r="G675" s="4">
        <f t="shared" si="64"/>
        <v>1630</v>
      </c>
      <c r="H675" s="4">
        <f t="shared" si="64"/>
        <v>0</v>
      </c>
      <c r="I675" s="152">
        <f t="shared" si="65"/>
        <v>0</v>
      </c>
    </row>
    <row r="676" spans="1:9" ht="15.75">
      <c r="A676" s="45" t="s">
        <v>292</v>
      </c>
      <c r="B676" s="21" t="s">
        <v>202</v>
      </c>
      <c r="C676" s="34" t="s">
        <v>195</v>
      </c>
      <c r="D676" s="10" t="s">
        <v>166</v>
      </c>
      <c r="E676" s="25" t="s">
        <v>274</v>
      </c>
      <c r="F676" s="4">
        <v>0</v>
      </c>
      <c r="G676" s="4">
        <v>1630</v>
      </c>
      <c r="H676" s="4">
        <v>0</v>
      </c>
      <c r="I676" s="152">
        <f t="shared" si="65"/>
        <v>0</v>
      </c>
    </row>
    <row r="677" spans="1:9" ht="15.75">
      <c r="A677" s="45" t="s">
        <v>250</v>
      </c>
      <c r="B677" s="21" t="s">
        <v>202</v>
      </c>
      <c r="C677" s="21" t="s">
        <v>195</v>
      </c>
      <c r="D677" s="11" t="s">
        <v>424</v>
      </c>
      <c r="E677" s="22"/>
      <c r="F677" s="4">
        <f aca="true" t="shared" si="66" ref="F677:H679">F678</f>
        <v>13000</v>
      </c>
      <c r="G677" s="4">
        <f t="shared" si="66"/>
        <v>1292</v>
      </c>
      <c r="H677" s="4">
        <f t="shared" si="66"/>
        <v>1292</v>
      </c>
      <c r="I677" s="152">
        <f t="shared" si="65"/>
        <v>100</v>
      </c>
    </row>
    <row r="678" spans="1:9" ht="63">
      <c r="A678" s="37" t="s">
        <v>468</v>
      </c>
      <c r="B678" s="21" t="s">
        <v>202</v>
      </c>
      <c r="C678" s="21" t="s">
        <v>195</v>
      </c>
      <c r="D678" s="11" t="s">
        <v>469</v>
      </c>
      <c r="E678" s="22"/>
      <c r="F678" s="4">
        <f t="shared" si="66"/>
        <v>13000</v>
      </c>
      <c r="G678" s="4">
        <f t="shared" si="66"/>
        <v>1292</v>
      </c>
      <c r="H678" s="4">
        <f t="shared" si="66"/>
        <v>1292</v>
      </c>
      <c r="I678" s="152">
        <f t="shared" si="65"/>
        <v>100</v>
      </c>
    </row>
    <row r="679" spans="1:9" ht="47.25">
      <c r="A679" s="45" t="s">
        <v>642</v>
      </c>
      <c r="B679" s="21" t="s">
        <v>202</v>
      </c>
      <c r="C679" s="21" t="s">
        <v>195</v>
      </c>
      <c r="D679" s="11" t="s">
        <v>643</v>
      </c>
      <c r="E679" s="22"/>
      <c r="F679" s="4">
        <f t="shared" si="66"/>
        <v>13000</v>
      </c>
      <c r="G679" s="4">
        <f t="shared" si="66"/>
        <v>1292</v>
      </c>
      <c r="H679" s="4">
        <f t="shared" si="66"/>
        <v>1292</v>
      </c>
      <c r="I679" s="152">
        <f t="shared" si="65"/>
        <v>100</v>
      </c>
    </row>
    <row r="680" spans="1:9" ht="15.75">
      <c r="A680" s="45" t="s">
        <v>292</v>
      </c>
      <c r="B680" s="21" t="s">
        <v>202</v>
      </c>
      <c r="C680" s="21" t="s">
        <v>195</v>
      </c>
      <c r="D680" s="11" t="s">
        <v>643</v>
      </c>
      <c r="E680" s="22" t="s">
        <v>274</v>
      </c>
      <c r="F680" s="4">
        <f>13000</f>
        <v>13000</v>
      </c>
      <c r="G680" s="4">
        <v>1292</v>
      </c>
      <c r="H680" s="4">
        <v>1292</v>
      </c>
      <c r="I680" s="152">
        <f t="shared" si="65"/>
        <v>100</v>
      </c>
    </row>
    <row r="681" spans="1:9" ht="12" customHeight="1">
      <c r="A681" s="45"/>
      <c r="B681" s="21"/>
      <c r="C681" s="21"/>
      <c r="D681" s="11"/>
      <c r="E681" s="22"/>
      <c r="F681" s="4"/>
      <c r="G681" s="4"/>
      <c r="H681" s="4"/>
      <c r="I681" s="152"/>
    </row>
    <row r="682" spans="1:9" ht="15.75">
      <c r="A682" s="57" t="s">
        <v>376</v>
      </c>
      <c r="B682" s="28" t="s">
        <v>202</v>
      </c>
      <c r="C682" s="28" t="s">
        <v>196</v>
      </c>
      <c r="D682" s="35"/>
      <c r="E682" s="36"/>
      <c r="F682" s="7">
        <f>F691+F694+F699+F687+F683+F702</f>
        <v>194339</v>
      </c>
      <c r="G682" s="7">
        <f>G691+G694+G699+G687+G683+G702</f>
        <v>267259</v>
      </c>
      <c r="H682" s="7">
        <f>H691+H694+H699+H687+H683+H702</f>
        <v>234924</v>
      </c>
      <c r="I682" s="154">
        <f t="shared" si="65"/>
        <v>87.90124934988157</v>
      </c>
    </row>
    <row r="683" spans="1:9" ht="15.75">
      <c r="A683" s="15" t="s">
        <v>187</v>
      </c>
      <c r="B683" s="34" t="s">
        <v>202</v>
      </c>
      <c r="C683" s="34" t="s">
        <v>196</v>
      </c>
      <c r="D683" s="10" t="s">
        <v>256</v>
      </c>
      <c r="E683" s="25"/>
      <c r="F683" s="6">
        <f aca="true" t="shared" si="67" ref="F683:H685">F684</f>
        <v>0</v>
      </c>
      <c r="G683" s="6">
        <f t="shared" si="67"/>
        <v>470</v>
      </c>
      <c r="H683" s="6">
        <f t="shared" si="67"/>
        <v>470</v>
      </c>
      <c r="I683" s="152">
        <f t="shared" si="65"/>
        <v>100</v>
      </c>
    </row>
    <row r="684" spans="1:9" ht="15.75">
      <c r="A684" s="12" t="s">
        <v>257</v>
      </c>
      <c r="B684" s="34" t="s">
        <v>202</v>
      </c>
      <c r="C684" s="34" t="s">
        <v>196</v>
      </c>
      <c r="D684" s="10" t="s">
        <v>258</v>
      </c>
      <c r="E684" s="25"/>
      <c r="F684" s="6">
        <f t="shared" si="67"/>
        <v>0</v>
      </c>
      <c r="G684" s="6">
        <f t="shared" si="67"/>
        <v>470</v>
      </c>
      <c r="H684" s="6">
        <f t="shared" si="67"/>
        <v>470</v>
      </c>
      <c r="I684" s="152">
        <f t="shared" si="65"/>
        <v>100</v>
      </c>
    </row>
    <row r="685" spans="1:9" ht="15.75">
      <c r="A685" s="32" t="s">
        <v>434</v>
      </c>
      <c r="B685" s="34" t="s">
        <v>202</v>
      </c>
      <c r="C685" s="34" t="s">
        <v>196</v>
      </c>
      <c r="D685" s="10" t="s">
        <v>259</v>
      </c>
      <c r="E685" s="25"/>
      <c r="F685" s="6">
        <f t="shared" si="67"/>
        <v>0</v>
      </c>
      <c r="G685" s="6">
        <f t="shared" si="67"/>
        <v>470</v>
      </c>
      <c r="H685" s="6">
        <f t="shared" si="67"/>
        <v>470</v>
      </c>
      <c r="I685" s="152">
        <f t="shared" si="65"/>
        <v>100</v>
      </c>
    </row>
    <row r="686" spans="1:9" ht="15.75">
      <c r="A686" s="45" t="s">
        <v>292</v>
      </c>
      <c r="B686" s="34" t="s">
        <v>202</v>
      </c>
      <c r="C686" s="34" t="s">
        <v>196</v>
      </c>
      <c r="D686" s="10" t="s">
        <v>259</v>
      </c>
      <c r="E686" s="25" t="s">
        <v>274</v>
      </c>
      <c r="F686" s="6">
        <v>0</v>
      </c>
      <c r="G686" s="6">
        <v>470</v>
      </c>
      <c r="H686" s="6">
        <v>470</v>
      </c>
      <c r="I686" s="152">
        <f t="shared" si="65"/>
        <v>100</v>
      </c>
    </row>
    <row r="687" spans="1:9" ht="31.5">
      <c r="A687" s="15" t="s">
        <v>313</v>
      </c>
      <c r="B687" s="34" t="s">
        <v>202</v>
      </c>
      <c r="C687" s="34" t="s">
        <v>196</v>
      </c>
      <c r="D687" s="10" t="s">
        <v>314</v>
      </c>
      <c r="E687" s="25"/>
      <c r="F687" s="6">
        <f aca="true" t="shared" si="68" ref="F687:H689">F688</f>
        <v>47</v>
      </c>
      <c r="G687" s="6">
        <f t="shared" si="68"/>
        <v>48</v>
      </c>
      <c r="H687" s="6">
        <f t="shared" si="68"/>
        <v>47</v>
      </c>
      <c r="I687" s="152">
        <f t="shared" si="65"/>
        <v>97.91666666666666</v>
      </c>
    </row>
    <row r="688" spans="1:9" ht="63">
      <c r="A688" s="70" t="s">
        <v>439</v>
      </c>
      <c r="B688" s="34" t="s">
        <v>202</v>
      </c>
      <c r="C688" s="34" t="s">
        <v>196</v>
      </c>
      <c r="D688" s="10" t="s">
        <v>441</v>
      </c>
      <c r="E688" s="25"/>
      <c r="F688" s="6">
        <f t="shared" si="68"/>
        <v>47</v>
      </c>
      <c r="G688" s="6">
        <f t="shared" si="68"/>
        <v>48</v>
      </c>
      <c r="H688" s="6">
        <f t="shared" si="68"/>
        <v>47</v>
      </c>
      <c r="I688" s="152">
        <f t="shared" si="65"/>
        <v>97.91666666666666</v>
      </c>
    </row>
    <row r="689" spans="1:9" ht="31.5">
      <c r="A689" s="20" t="s">
        <v>440</v>
      </c>
      <c r="B689" s="34" t="s">
        <v>202</v>
      </c>
      <c r="C689" s="34" t="s">
        <v>196</v>
      </c>
      <c r="D689" s="44" t="s">
        <v>442</v>
      </c>
      <c r="E689" s="25"/>
      <c r="F689" s="6">
        <f t="shared" si="68"/>
        <v>47</v>
      </c>
      <c r="G689" s="6">
        <f t="shared" si="68"/>
        <v>48</v>
      </c>
      <c r="H689" s="6">
        <f t="shared" si="68"/>
        <v>47</v>
      </c>
      <c r="I689" s="152">
        <f t="shared" si="65"/>
        <v>97.91666666666666</v>
      </c>
    </row>
    <row r="690" spans="1:9" ht="15.75">
      <c r="A690" s="15" t="s">
        <v>309</v>
      </c>
      <c r="B690" s="34" t="s">
        <v>202</v>
      </c>
      <c r="C690" s="34" t="s">
        <v>196</v>
      </c>
      <c r="D690" s="10" t="s">
        <v>442</v>
      </c>
      <c r="E690" s="25" t="s">
        <v>310</v>
      </c>
      <c r="F690" s="6">
        <v>47</v>
      </c>
      <c r="G690" s="6">
        <v>48</v>
      </c>
      <c r="H690" s="6">
        <v>47</v>
      </c>
      <c r="I690" s="152">
        <f t="shared" si="65"/>
        <v>97.91666666666666</v>
      </c>
    </row>
    <row r="691" spans="1:9" ht="15.75">
      <c r="A691" s="15" t="s">
        <v>175</v>
      </c>
      <c r="B691" s="21" t="s">
        <v>202</v>
      </c>
      <c r="C691" s="34" t="s">
        <v>196</v>
      </c>
      <c r="D691" s="11" t="s">
        <v>372</v>
      </c>
      <c r="E691" s="31"/>
      <c r="F691" s="6">
        <f aca="true" t="shared" si="69" ref="F691:H692">F692</f>
        <v>59183</v>
      </c>
      <c r="G691" s="6">
        <f t="shared" si="69"/>
        <v>59078</v>
      </c>
      <c r="H691" s="6">
        <f t="shared" si="69"/>
        <v>58968</v>
      </c>
      <c r="I691" s="152">
        <f t="shared" si="65"/>
        <v>99.81380547750432</v>
      </c>
    </row>
    <row r="692" spans="1:9" ht="15.75">
      <c r="A692" s="12" t="s">
        <v>176</v>
      </c>
      <c r="B692" s="21" t="s">
        <v>202</v>
      </c>
      <c r="C692" s="34" t="s">
        <v>196</v>
      </c>
      <c r="D692" s="11" t="s">
        <v>373</v>
      </c>
      <c r="E692" s="22"/>
      <c r="F692" s="6">
        <f t="shared" si="69"/>
        <v>59183</v>
      </c>
      <c r="G692" s="6">
        <f t="shared" si="69"/>
        <v>59078</v>
      </c>
      <c r="H692" s="6">
        <f t="shared" si="69"/>
        <v>58968</v>
      </c>
      <c r="I692" s="152">
        <f t="shared" si="65"/>
        <v>99.81380547750432</v>
      </c>
    </row>
    <row r="693" spans="1:9" ht="15.75">
      <c r="A693" s="45" t="s">
        <v>292</v>
      </c>
      <c r="B693" s="21" t="s">
        <v>202</v>
      </c>
      <c r="C693" s="34" t="s">
        <v>196</v>
      </c>
      <c r="D693" s="11" t="s">
        <v>373</v>
      </c>
      <c r="E693" s="22" t="s">
        <v>274</v>
      </c>
      <c r="F693" s="6">
        <f>59965+691+504-1559+1863+508-2789</f>
        <v>59183</v>
      </c>
      <c r="G693" s="6">
        <v>59078</v>
      </c>
      <c r="H693" s="6">
        <v>58968</v>
      </c>
      <c r="I693" s="152">
        <f t="shared" si="65"/>
        <v>99.81380547750432</v>
      </c>
    </row>
    <row r="694" spans="1:9" ht="15.75">
      <c r="A694" s="15" t="s">
        <v>177</v>
      </c>
      <c r="B694" s="21" t="s">
        <v>202</v>
      </c>
      <c r="C694" s="34" t="s">
        <v>196</v>
      </c>
      <c r="D694" s="11" t="s">
        <v>377</v>
      </c>
      <c r="E694" s="22"/>
      <c r="F694" s="4">
        <f>F697+F695</f>
        <v>129672</v>
      </c>
      <c r="G694" s="4">
        <f>G697+G695</f>
        <v>129040</v>
      </c>
      <c r="H694" s="4">
        <f>H697+H695</f>
        <v>123853</v>
      </c>
      <c r="I694" s="152">
        <f t="shared" si="65"/>
        <v>95.98031618102914</v>
      </c>
    </row>
    <row r="695" spans="1:9" ht="15.75">
      <c r="A695" s="20" t="s">
        <v>2</v>
      </c>
      <c r="B695" s="17" t="s">
        <v>202</v>
      </c>
      <c r="C695" s="23" t="s">
        <v>196</v>
      </c>
      <c r="D695" s="18" t="s">
        <v>614</v>
      </c>
      <c r="E695" s="19"/>
      <c r="F695" s="24">
        <f>F696</f>
        <v>18481</v>
      </c>
      <c r="G695" s="24">
        <f>G696</f>
        <v>18028</v>
      </c>
      <c r="H695" s="24">
        <f>H696</f>
        <v>16750</v>
      </c>
      <c r="I695" s="152">
        <f t="shared" si="65"/>
        <v>92.91102729088085</v>
      </c>
    </row>
    <row r="696" spans="1:9" ht="15.75">
      <c r="A696" s="20" t="s">
        <v>243</v>
      </c>
      <c r="B696" s="17" t="s">
        <v>202</v>
      </c>
      <c r="C696" s="23" t="s">
        <v>196</v>
      </c>
      <c r="D696" s="18" t="s">
        <v>614</v>
      </c>
      <c r="E696" s="19" t="s">
        <v>244</v>
      </c>
      <c r="F696" s="24">
        <f>15946+3871-1336</f>
        <v>18481</v>
      </c>
      <c r="G696" s="24">
        <v>18028</v>
      </c>
      <c r="H696" s="24">
        <v>16750</v>
      </c>
      <c r="I696" s="152">
        <f t="shared" si="65"/>
        <v>92.91102729088085</v>
      </c>
    </row>
    <row r="697" spans="1:9" ht="15.75">
      <c r="A697" s="12" t="s">
        <v>176</v>
      </c>
      <c r="B697" s="21" t="s">
        <v>202</v>
      </c>
      <c r="C697" s="34" t="s">
        <v>196</v>
      </c>
      <c r="D697" s="71" t="s">
        <v>378</v>
      </c>
      <c r="E697" s="22"/>
      <c r="F697" s="4">
        <f>F698</f>
        <v>111191</v>
      </c>
      <c r="G697" s="4">
        <f>G698</f>
        <v>111012</v>
      </c>
      <c r="H697" s="4">
        <f>H698</f>
        <v>107103</v>
      </c>
      <c r="I697" s="152">
        <f t="shared" si="65"/>
        <v>96.47875905307535</v>
      </c>
    </row>
    <row r="698" spans="1:9" ht="15.75">
      <c r="A698" s="45" t="s">
        <v>292</v>
      </c>
      <c r="B698" s="21" t="s">
        <v>202</v>
      </c>
      <c r="C698" s="34" t="s">
        <v>196</v>
      </c>
      <c r="D698" s="11" t="s">
        <v>378</v>
      </c>
      <c r="E698" s="22" t="s">
        <v>274</v>
      </c>
      <c r="F698" s="4">
        <f>99276+1372+893-1178+7694+1500+800+635+199</f>
        <v>111191</v>
      </c>
      <c r="G698" s="4">
        <v>111012</v>
      </c>
      <c r="H698" s="4">
        <v>107103</v>
      </c>
      <c r="I698" s="152">
        <f t="shared" si="65"/>
        <v>96.47875905307535</v>
      </c>
    </row>
    <row r="699" spans="1:9" ht="15.75">
      <c r="A699" s="15" t="s">
        <v>178</v>
      </c>
      <c r="B699" s="21" t="s">
        <v>202</v>
      </c>
      <c r="C699" s="34" t="s">
        <v>196</v>
      </c>
      <c r="D699" s="11" t="s">
        <v>374</v>
      </c>
      <c r="E699" s="31"/>
      <c r="F699" s="4">
        <f aca="true" t="shared" si="70" ref="F699:H700">F700</f>
        <v>5437</v>
      </c>
      <c r="G699" s="4">
        <f t="shared" si="70"/>
        <v>5029</v>
      </c>
      <c r="H699" s="4">
        <f t="shared" si="70"/>
        <v>5026</v>
      </c>
      <c r="I699" s="152">
        <f t="shared" si="65"/>
        <v>99.9403459932392</v>
      </c>
    </row>
    <row r="700" spans="1:9" ht="15.75">
      <c r="A700" s="12" t="s">
        <v>176</v>
      </c>
      <c r="B700" s="21" t="s">
        <v>202</v>
      </c>
      <c r="C700" s="34" t="s">
        <v>196</v>
      </c>
      <c r="D700" s="11" t="s">
        <v>375</v>
      </c>
      <c r="E700" s="22"/>
      <c r="F700" s="4">
        <f t="shared" si="70"/>
        <v>5437</v>
      </c>
      <c r="G700" s="4">
        <f t="shared" si="70"/>
        <v>5029</v>
      </c>
      <c r="H700" s="4">
        <f t="shared" si="70"/>
        <v>5026</v>
      </c>
      <c r="I700" s="152">
        <f t="shared" si="65"/>
        <v>99.9403459932392</v>
      </c>
    </row>
    <row r="701" spans="1:9" ht="15.75">
      <c r="A701" s="45" t="s">
        <v>292</v>
      </c>
      <c r="B701" s="21" t="s">
        <v>202</v>
      </c>
      <c r="C701" s="34" t="s">
        <v>196</v>
      </c>
      <c r="D701" s="11" t="s">
        <v>375</v>
      </c>
      <c r="E701" s="22" t="s">
        <v>274</v>
      </c>
      <c r="F701" s="4">
        <f>5241+146+103-127+74</f>
        <v>5437</v>
      </c>
      <c r="G701" s="4">
        <v>5029</v>
      </c>
      <c r="H701" s="4">
        <v>5026</v>
      </c>
      <c r="I701" s="152">
        <f t="shared" si="65"/>
        <v>99.9403459932392</v>
      </c>
    </row>
    <row r="702" spans="1:9" ht="15.75">
      <c r="A702" s="26" t="s">
        <v>510</v>
      </c>
      <c r="B702" s="21" t="s">
        <v>202</v>
      </c>
      <c r="C702" s="34" t="s">
        <v>196</v>
      </c>
      <c r="D702" s="10" t="s">
        <v>481</v>
      </c>
      <c r="E702" s="25"/>
      <c r="F702" s="4">
        <f aca="true" t="shared" si="71" ref="F702:H703">F703</f>
        <v>0</v>
      </c>
      <c r="G702" s="4">
        <f t="shared" si="71"/>
        <v>73594</v>
      </c>
      <c r="H702" s="4">
        <f t="shared" si="71"/>
        <v>46560</v>
      </c>
      <c r="I702" s="152">
        <f t="shared" si="65"/>
        <v>63.26602712177623</v>
      </c>
    </row>
    <row r="703" spans="1:9" ht="31.5">
      <c r="A703" s="20" t="s">
        <v>167</v>
      </c>
      <c r="B703" s="21" t="s">
        <v>202</v>
      </c>
      <c r="C703" s="34" t="s">
        <v>196</v>
      </c>
      <c r="D703" s="10" t="s">
        <v>165</v>
      </c>
      <c r="E703" s="25"/>
      <c r="F703" s="4">
        <f t="shared" si="71"/>
        <v>0</v>
      </c>
      <c r="G703" s="4">
        <f t="shared" si="71"/>
        <v>73594</v>
      </c>
      <c r="H703" s="4">
        <f t="shared" si="71"/>
        <v>46560</v>
      </c>
      <c r="I703" s="152">
        <f t="shared" si="65"/>
        <v>63.26602712177623</v>
      </c>
    </row>
    <row r="704" spans="1:9" ht="47.25">
      <c r="A704" s="20" t="s">
        <v>168</v>
      </c>
      <c r="B704" s="21" t="s">
        <v>202</v>
      </c>
      <c r="C704" s="34" t="s">
        <v>196</v>
      </c>
      <c r="D704" s="10" t="s">
        <v>166</v>
      </c>
      <c r="E704" s="25"/>
      <c r="F704" s="4">
        <f>F705+F706</f>
        <v>0</v>
      </c>
      <c r="G704" s="4">
        <f>G705+G706</f>
        <v>73594</v>
      </c>
      <c r="H704" s="4">
        <f>H705+H706</f>
        <v>46560</v>
      </c>
      <c r="I704" s="152">
        <f t="shared" si="65"/>
        <v>63.26602712177623</v>
      </c>
    </row>
    <row r="705" spans="1:9" ht="15.75">
      <c r="A705" s="45" t="s">
        <v>292</v>
      </c>
      <c r="B705" s="21" t="s">
        <v>202</v>
      </c>
      <c r="C705" s="34" t="s">
        <v>196</v>
      </c>
      <c r="D705" s="10" t="s">
        <v>166</v>
      </c>
      <c r="E705" s="25" t="s">
        <v>274</v>
      </c>
      <c r="F705" s="4">
        <v>0</v>
      </c>
      <c r="G705" s="4">
        <v>51632</v>
      </c>
      <c r="H705" s="4">
        <v>24926</v>
      </c>
      <c r="I705" s="152">
        <f t="shared" si="65"/>
        <v>48.276262782770374</v>
      </c>
    </row>
    <row r="706" spans="1:9" ht="15.75">
      <c r="A706" s="20" t="s">
        <v>243</v>
      </c>
      <c r="B706" s="21" t="s">
        <v>202</v>
      </c>
      <c r="C706" s="34" t="s">
        <v>196</v>
      </c>
      <c r="D706" s="10" t="s">
        <v>166</v>
      </c>
      <c r="E706" s="22" t="s">
        <v>244</v>
      </c>
      <c r="F706" s="4">
        <v>0</v>
      </c>
      <c r="G706" s="4">
        <v>21962</v>
      </c>
      <c r="H706" s="4">
        <v>21634</v>
      </c>
      <c r="I706" s="152">
        <f t="shared" si="65"/>
        <v>98.50651124669885</v>
      </c>
    </row>
    <row r="707" spans="1:9" ht="12" customHeight="1">
      <c r="A707" s="15"/>
      <c r="B707" s="21"/>
      <c r="C707" s="34"/>
      <c r="D707" s="11"/>
      <c r="E707" s="22"/>
      <c r="F707" s="4"/>
      <c r="G707" s="4"/>
      <c r="H707" s="4"/>
      <c r="I707" s="152"/>
    </row>
    <row r="708" spans="1:9" ht="15.75">
      <c r="A708" s="57" t="s">
        <v>499</v>
      </c>
      <c r="B708" s="28" t="s">
        <v>202</v>
      </c>
      <c r="C708" s="28" t="s">
        <v>197</v>
      </c>
      <c r="D708" s="35"/>
      <c r="E708" s="36"/>
      <c r="F708" s="7">
        <f>F709+F712+F715</f>
        <v>12563</v>
      </c>
      <c r="G708" s="7">
        <f>G709+G712+G715</f>
        <v>11085</v>
      </c>
      <c r="H708" s="7">
        <f>H709+H712+H715</f>
        <v>10930</v>
      </c>
      <c r="I708" s="154">
        <f t="shared" si="65"/>
        <v>98.60171402796571</v>
      </c>
    </row>
    <row r="709" spans="1:9" ht="15.75">
      <c r="A709" s="15" t="s">
        <v>175</v>
      </c>
      <c r="B709" s="21" t="s">
        <v>202</v>
      </c>
      <c r="C709" s="34" t="s">
        <v>197</v>
      </c>
      <c r="D709" s="10" t="s">
        <v>372</v>
      </c>
      <c r="E709" s="25"/>
      <c r="F709" s="4">
        <f aca="true" t="shared" si="72" ref="F709:H710">F710</f>
        <v>5481</v>
      </c>
      <c r="G709" s="4">
        <f t="shared" si="72"/>
        <v>5314</v>
      </c>
      <c r="H709" s="4">
        <f t="shared" si="72"/>
        <v>5159</v>
      </c>
      <c r="I709" s="152">
        <f t="shared" si="65"/>
        <v>97.08317651486638</v>
      </c>
    </row>
    <row r="710" spans="1:9" ht="15.75">
      <c r="A710" s="12" t="s">
        <v>176</v>
      </c>
      <c r="B710" s="21" t="s">
        <v>202</v>
      </c>
      <c r="C710" s="34" t="s">
        <v>197</v>
      </c>
      <c r="D710" s="10" t="s">
        <v>373</v>
      </c>
      <c r="E710" s="25"/>
      <c r="F710" s="4">
        <f t="shared" si="72"/>
        <v>5481</v>
      </c>
      <c r="G710" s="4">
        <f t="shared" si="72"/>
        <v>5314</v>
      </c>
      <c r="H710" s="4">
        <f t="shared" si="72"/>
        <v>5159</v>
      </c>
      <c r="I710" s="152">
        <f t="shared" si="65"/>
        <v>97.08317651486638</v>
      </c>
    </row>
    <row r="711" spans="1:9" ht="15.75">
      <c r="A711" s="45" t="s">
        <v>292</v>
      </c>
      <c r="B711" s="21" t="s">
        <v>202</v>
      </c>
      <c r="C711" s="34" t="s">
        <v>197</v>
      </c>
      <c r="D711" s="10" t="s">
        <v>373</v>
      </c>
      <c r="E711" s="25" t="s">
        <v>274</v>
      </c>
      <c r="F711" s="4">
        <f>5676-195</f>
        <v>5481</v>
      </c>
      <c r="G711" s="4">
        <v>5314</v>
      </c>
      <c r="H711" s="4">
        <v>5159</v>
      </c>
      <c r="I711" s="152">
        <f t="shared" si="65"/>
        <v>97.08317651486638</v>
      </c>
    </row>
    <row r="712" spans="1:9" ht="15.75">
      <c r="A712" s="15" t="s">
        <v>177</v>
      </c>
      <c r="B712" s="21" t="s">
        <v>202</v>
      </c>
      <c r="C712" s="34" t="s">
        <v>197</v>
      </c>
      <c r="D712" s="11" t="s">
        <v>377</v>
      </c>
      <c r="E712" s="22"/>
      <c r="F712" s="4">
        <f aca="true" t="shared" si="73" ref="F712:H713">F713</f>
        <v>6340</v>
      </c>
      <c r="G712" s="4">
        <f t="shared" si="73"/>
        <v>5049</v>
      </c>
      <c r="H712" s="4">
        <f t="shared" si="73"/>
        <v>5049</v>
      </c>
      <c r="I712" s="152">
        <f t="shared" si="65"/>
        <v>100</v>
      </c>
    </row>
    <row r="713" spans="1:9" ht="15.75">
      <c r="A713" s="12" t="s">
        <v>176</v>
      </c>
      <c r="B713" s="21" t="s">
        <v>202</v>
      </c>
      <c r="C713" s="34" t="s">
        <v>197</v>
      </c>
      <c r="D713" s="71" t="s">
        <v>378</v>
      </c>
      <c r="E713" s="22"/>
      <c r="F713" s="4">
        <f t="shared" si="73"/>
        <v>6340</v>
      </c>
      <c r="G713" s="4">
        <f t="shared" si="73"/>
        <v>5049</v>
      </c>
      <c r="H713" s="4">
        <f t="shared" si="73"/>
        <v>5049</v>
      </c>
      <c r="I713" s="152">
        <f t="shared" si="65"/>
        <v>100</v>
      </c>
    </row>
    <row r="714" spans="1:9" ht="15.75">
      <c r="A714" s="45" t="s">
        <v>292</v>
      </c>
      <c r="B714" s="21" t="s">
        <v>202</v>
      </c>
      <c r="C714" s="34" t="s">
        <v>197</v>
      </c>
      <c r="D714" s="11" t="s">
        <v>378</v>
      </c>
      <c r="E714" s="22" t="s">
        <v>274</v>
      </c>
      <c r="F714" s="4">
        <f>6580-240</f>
        <v>6340</v>
      </c>
      <c r="G714" s="4">
        <v>5049</v>
      </c>
      <c r="H714" s="4">
        <v>5049</v>
      </c>
      <c r="I714" s="152">
        <f t="shared" si="65"/>
        <v>100</v>
      </c>
    </row>
    <row r="715" spans="1:9" ht="15.75">
      <c r="A715" s="15" t="s">
        <v>178</v>
      </c>
      <c r="B715" s="21" t="s">
        <v>202</v>
      </c>
      <c r="C715" s="34" t="s">
        <v>197</v>
      </c>
      <c r="D715" s="10" t="s">
        <v>374</v>
      </c>
      <c r="E715" s="25"/>
      <c r="F715" s="4">
        <f aca="true" t="shared" si="74" ref="F715:H716">F716</f>
        <v>742</v>
      </c>
      <c r="G715" s="4">
        <f t="shared" si="74"/>
        <v>722</v>
      </c>
      <c r="H715" s="4">
        <f t="shared" si="74"/>
        <v>722</v>
      </c>
      <c r="I715" s="152">
        <f t="shared" si="65"/>
        <v>100</v>
      </c>
    </row>
    <row r="716" spans="1:9" ht="15.75">
      <c r="A716" s="12" t="s">
        <v>176</v>
      </c>
      <c r="B716" s="21" t="s">
        <v>202</v>
      </c>
      <c r="C716" s="34" t="s">
        <v>197</v>
      </c>
      <c r="D716" s="10" t="s">
        <v>375</v>
      </c>
      <c r="E716" s="25"/>
      <c r="F716" s="4">
        <f t="shared" si="74"/>
        <v>742</v>
      </c>
      <c r="G716" s="4">
        <f t="shared" si="74"/>
        <v>722</v>
      </c>
      <c r="H716" s="4">
        <f t="shared" si="74"/>
        <v>722</v>
      </c>
      <c r="I716" s="152">
        <f t="shared" si="65"/>
        <v>100</v>
      </c>
    </row>
    <row r="717" spans="1:9" ht="15.75">
      <c r="A717" s="45" t="s">
        <v>292</v>
      </c>
      <c r="B717" s="21" t="s">
        <v>202</v>
      </c>
      <c r="C717" s="34" t="s">
        <v>197</v>
      </c>
      <c r="D717" s="10" t="s">
        <v>375</v>
      </c>
      <c r="E717" s="25" t="s">
        <v>274</v>
      </c>
      <c r="F717" s="4">
        <f>777-35</f>
        <v>742</v>
      </c>
      <c r="G717" s="4">
        <v>722</v>
      </c>
      <c r="H717" s="4">
        <v>722</v>
      </c>
      <c r="I717" s="152">
        <f t="shared" si="65"/>
        <v>100</v>
      </c>
    </row>
    <row r="718" spans="1:9" ht="12" customHeight="1">
      <c r="A718" s="45"/>
      <c r="B718" s="21"/>
      <c r="C718" s="34"/>
      <c r="D718" s="11"/>
      <c r="E718" s="22"/>
      <c r="F718" s="4"/>
      <c r="G718" s="4"/>
      <c r="H718" s="4"/>
      <c r="I718" s="152"/>
    </row>
    <row r="719" spans="1:9" ht="15.75">
      <c r="A719" s="57" t="s">
        <v>379</v>
      </c>
      <c r="B719" s="28" t="s">
        <v>202</v>
      </c>
      <c r="C719" s="28" t="s">
        <v>198</v>
      </c>
      <c r="D719" s="35"/>
      <c r="E719" s="36"/>
      <c r="F719" s="7">
        <f>F724+F729+F720</f>
        <v>268541</v>
      </c>
      <c r="G719" s="7">
        <f>G724+G729+G720</f>
        <v>274960</v>
      </c>
      <c r="H719" s="7">
        <f>H724+H729+H720</f>
        <v>270956</v>
      </c>
      <c r="I719" s="154">
        <f t="shared" si="65"/>
        <v>98.54378818737271</v>
      </c>
    </row>
    <row r="720" spans="1:9" ht="15.75">
      <c r="A720" s="15" t="s">
        <v>187</v>
      </c>
      <c r="B720" s="21" t="s">
        <v>202</v>
      </c>
      <c r="C720" s="34" t="s">
        <v>198</v>
      </c>
      <c r="D720" s="21" t="s">
        <v>256</v>
      </c>
      <c r="E720" s="22"/>
      <c r="F720" s="6">
        <f aca="true" t="shared" si="75" ref="F720:H722">F721</f>
        <v>0</v>
      </c>
      <c r="G720" s="6">
        <f t="shared" si="75"/>
        <v>50</v>
      </c>
      <c r="H720" s="6">
        <f t="shared" si="75"/>
        <v>50</v>
      </c>
      <c r="I720" s="152">
        <f t="shared" si="65"/>
        <v>100</v>
      </c>
    </row>
    <row r="721" spans="1:9" ht="15.75">
      <c r="A721" s="12" t="s">
        <v>257</v>
      </c>
      <c r="B721" s="21" t="s">
        <v>202</v>
      </c>
      <c r="C721" s="34" t="s">
        <v>198</v>
      </c>
      <c r="D721" s="21" t="s">
        <v>258</v>
      </c>
      <c r="E721" s="22"/>
      <c r="F721" s="6">
        <f t="shared" si="75"/>
        <v>0</v>
      </c>
      <c r="G721" s="6">
        <f t="shared" si="75"/>
        <v>50</v>
      </c>
      <c r="H721" s="6">
        <f t="shared" si="75"/>
        <v>50</v>
      </c>
      <c r="I721" s="152">
        <f t="shared" si="65"/>
        <v>100</v>
      </c>
    </row>
    <row r="722" spans="1:9" ht="15.75">
      <c r="A722" s="32" t="s">
        <v>434</v>
      </c>
      <c r="B722" s="21" t="s">
        <v>202</v>
      </c>
      <c r="C722" s="34" t="s">
        <v>198</v>
      </c>
      <c r="D722" s="21" t="s">
        <v>259</v>
      </c>
      <c r="E722" s="22"/>
      <c r="F722" s="6">
        <f t="shared" si="75"/>
        <v>0</v>
      </c>
      <c r="G722" s="6">
        <f t="shared" si="75"/>
        <v>50</v>
      </c>
      <c r="H722" s="6">
        <f t="shared" si="75"/>
        <v>50</v>
      </c>
      <c r="I722" s="152">
        <f t="shared" si="65"/>
        <v>100</v>
      </c>
    </row>
    <row r="723" spans="1:9" ht="15.75">
      <c r="A723" s="45" t="s">
        <v>292</v>
      </c>
      <c r="B723" s="21" t="s">
        <v>202</v>
      </c>
      <c r="C723" s="34" t="s">
        <v>198</v>
      </c>
      <c r="D723" s="21" t="s">
        <v>260</v>
      </c>
      <c r="E723" s="22" t="s">
        <v>274</v>
      </c>
      <c r="F723" s="6">
        <v>0</v>
      </c>
      <c r="G723" s="6">
        <v>50</v>
      </c>
      <c r="H723" s="6">
        <v>50</v>
      </c>
      <c r="I723" s="152">
        <f t="shared" si="65"/>
        <v>100</v>
      </c>
    </row>
    <row r="724" spans="1:9" ht="16.5" customHeight="1">
      <c r="A724" s="15" t="s">
        <v>179</v>
      </c>
      <c r="B724" s="21" t="s">
        <v>202</v>
      </c>
      <c r="C724" s="34" t="s">
        <v>198</v>
      </c>
      <c r="D724" s="11" t="s">
        <v>380</v>
      </c>
      <c r="E724" s="22"/>
      <c r="F724" s="4">
        <f>F727+F725</f>
        <v>227202</v>
      </c>
      <c r="G724" s="4">
        <f>G727+G725</f>
        <v>233571</v>
      </c>
      <c r="H724" s="4">
        <f>H727+H725</f>
        <v>232446</v>
      </c>
      <c r="I724" s="152">
        <f t="shared" si="65"/>
        <v>99.51834774008759</v>
      </c>
    </row>
    <row r="725" spans="1:9" ht="15.75">
      <c r="A725" s="20" t="s">
        <v>2</v>
      </c>
      <c r="B725" s="17" t="s">
        <v>202</v>
      </c>
      <c r="C725" s="23" t="s">
        <v>198</v>
      </c>
      <c r="D725" s="18" t="s">
        <v>635</v>
      </c>
      <c r="E725" s="19"/>
      <c r="F725" s="24">
        <f>F726</f>
        <v>427</v>
      </c>
      <c r="G725" s="24">
        <f>G726</f>
        <v>427</v>
      </c>
      <c r="H725" s="24">
        <f>H726</f>
        <v>329</v>
      </c>
      <c r="I725" s="152">
        <f t="shared" si="65"/>
        <v>77.04918032786885</v>
      </c>
    </row>
    <row r="726" spans="1:9" ht="15.75">
      <c r="A726" s="20" t="s">
        <v>243</v>
      </c>
      <c r="B726" s="17" t="s">
        <v>202</v>
      </c>
      <c r="C726" s="23" t="s">
        <v>198</v>
      </c>
      <c r="D726" s="18" t="s">
        <v>635</v>
      </c>
      <c r="E726" s="19" t="s">
        <v>244</v>
      </c>
      <c r="F726" s="24">
        <f>650-223</f>
        <v>427</v>
      </c>
      <c r="G726" s="24">
        <f>650-223</f>
        <v>427</v>
      </c>
      <c r="H726" s="24">
        <v>329</v>
      </c>
      <c r="I726" s="152">
        <f t="shared" si="65"/>
        <v>77.04918032786885</v>
      </c>
    </row>
    <row r="727" spans="1:9" ht="15.75">
      <c r="A727" s="12" t="s">
        <v>176</v>
      </c>
      <c r="B727" s="21" t="s">
        <v>202</v>
      </c>
      <c r="C727" s="34" t="s">
        <v>198</v>
      </c>
      <c r="D727" s="11" t="s">
        <v>381</v>
      </c>
      <c r="E727" s="22"/>
      <c r="F727" s="4">
        <f>F728</f>
        <v>226775</v>
      </c>
      <c r="G727" s="4">
        <f>G728</f>
        <v>233144</v>
      </c>
      <c r="H727" s="4">
        <f>H728</f>
        <v>232117</v>
      </c>
      <c r="I727" s="152">
        <f t="shared" si="65"/>
        <v>99.55949970833477</v>
      </c>
    </row>
    <row r="728" spans="1:9" ht="15.75">
      <c r="A728" s="45" t="s">
        <v>292</v>
      </c>
      <c r="B728" s="21" t="s">
        <v>202</v>
      </c>
      <c r="C728" s="34" t="s">
        <v>198</v>
      </c>
      <c r="D728" s="11" t="s">
        <v>381</v>
      </c>
      <c r="E728" s="22" t="s">
        <v>274</v>
      </c>
      <c r="F728" s="4">
        <f>211557+6392+4565-306+4488+79</f>
        <v>226775</v>
      </c>
      <c r="G728" s="4">
        <v>233144</v>
      </c>
      <c r="H728" s="4">
        <v>232117</v>
      </c>
      <c r="I728" s="152">
        <f t="shared" si="65"/>
        <v>99.55949970833477</v>
      </c>
    </row>
    <row r="729" spans="1:9" ht="15.75">
      <c r="A729" s="20" t="s">
        <v>431</v>
      </c>
      <c r="B729" s="17" t="s">
        <v>202</v>
      </c>
      <c r="C729" s="23" t="s">
        <v>198</v>
      </c>
      <c r="D729" s="18" t="s">
        <v>432</v>
      </c>
      <c r="E729" s="19"/>
      <c r="F729" s="24">
        <f aca="true" t="shared" si="76" ref="F729:H731">F730</f>
        <v>41339</v>
      </c>
      <c r="G729" s="24">
        <f t="shared" si="76"/>
        <v>41339</v>
      </c>
      <c r="H729" s="24">
        <f t="shared" si="76"/>
        <v>38460</v>
      </c>
      <c r="I729" s="152">
        <f t="shared" si="65"/>
        <v>93.03563221171291</v>
      </c>
    </row>
    <row r="730" spans="1:9" ht="47.25">
      <c r="A730" s="20" t="s">
        <v>636</v>
      </c>
      <c r="B730" s="17" t="s">
        <v>202</v>
      </c>
      <c r="C730" s="23" t="s">
        <v>198</v>
      </c>
      <c r="D730" s="18" t="s">
        <v>169</v>
      </c>
      <c r="E730" s="19"/>
      <c r="F730" s="24">
        <f t="shared" si="76"/>
        <v>41339</v>
      </c>
      <c r="G730" s="24">
        <f t="shared" si="76"/>
        <v>41339</v>
      </c>
      <c r="H730" s="24">
        <f t="shared" si="76"/>
        <v>38460</v>
      </c>
      <c r="I730" s="152">
        <f t="shared" si="65"/>
        <v>93.03563221171291</v>
      </c>
    </row>
    <row r="731" spans="1:9" ht="63">
      <c r="A731" s="20" t="s">
        <v>637</v>
      </c>
      <c r="B731" s="17" t="s">
        <v>202</v>
      </c>
      <c r="C731" s="23" t="s">
        <v>198</v>
      </c>
      <c r="D731" s="18" t="s">
        <v>170</v>
      </c>
      <c r="E731" s="19"/>
      <c r="F731" s="24">
        <f t="shared" si="76"/>
        <v>41339</v>
      </c>
      <c r="G731" s="24">
        <f t="shared" si="76"/>
        <v>41339</v>
      </c>
      <c r="H731" s="24">
        <f t="shared" si="76"/>
        <v>38460</v>
      </c>
      <c r="I731" s="152">
        <f t="shared" si="65"/>
        <v>93.03563221171291</v>
      </c>
    </row>
    <row r="732" spans="1:9" ht="15.75">
      <c r="A732" s="45" t="s">
        <v>292</v>
      </c>
      <c r="B732" s="21" t="s">
        <v>202</v>
      </c>
      <c r="C732" s="34" t="s">
        <v>198</v>
      </c>
      <c r="D732" s="11" t="s">
        <v>170</v>
      </c>
      <c r="E732" s="22" t="s">
        <v>274</v>
      </c>
      <c r="F732" s="4">
        <f>41339</f>
        <v>41339</v>
      </c>
      <c r="G732" s="4">
        <f>41339</f>
        <v>41339</v>
      </c>
      <c r="H732" s="4">
        <v>38460</v>
      </c>
      <c r="I732" s="152">
        <f t="shared" si="65"/>
        <v>93.03563221171291</v>
      </c>
    </row>
    <row r="733" spans="1:9" ht="12" customHeight="1">
      <c r="A733" s="96"/>
      <c r="B733" s="21"/>
      <c r="C733" s="34"/>
      <c r="D733" s="11"/>
      <c r="E733" s="22"/>
      <c r="F733" s="4"/>
      <c r="G733" s="4"/>
      <c r="H733" s="4"/>
      <c r="I733" s="152"/>
    </row>
    <row r="734" spans="1:9" ht="15.75">
      <c r="A734" s="27" t="s">
        <v>566</v>
      </c>
      <c r="B734" s="28" t="s">
        <v>202</v>
      </c>
      <c r="C734" s="28" t="s">
        <v>202</v>
      </c>
      <c r="D734" s="35"/>
      <c r="E734" s="36"/>
      <c r="F734" s="7">
        <f>F735+F738+F743+F749</f>
        <v>188901</v>
      </c>
      <c r="G734" s="7">
        <f>G735+G738+G743+G749</f>
        <v>188855</v>
      </c>
      <c r="H734" s="7">
        <f>H735+H738+H743+H749</f>
        <v>187403</v>
      </c>
      <c r="I734" s="154">
        <f t="shared" si="65"/>
        <v>99.23115617802017</v>
      </c>
    </row>
    <row r="735" spans="1:9" ht="47.25">
      <c r="A735" s="9" t="s">
        <v>240</v>
      </c>
      <c r="B735" s="21" t="s">
        <v>202</v>
      </c>
      <c r="C735" s="21" t="s">
        <v>202</v>
      </c>
      <c r="D735" s="11" t="s">
        <v>241</v>
      </c>
      <c r="E735" s="22"/>
      <c r="F735" s="4">
        <f aca="true" t="shared" si="77" ref="F735:H736">F736</f>
        <v>39146</v>
      </c>
      <c r="G735" s="4">
        <f t="shared" si="77"/>
        <v>39146</v>
      </c>
      <c r="H735" s="4">
        <f t="shared" si="77"/>
        <v>38698</v>
      </c>
      <c r="I735" s="152">
        <f t="shared" si="65"/>
        <v>98.85556634138865</v>
      </c>
    </row>
    <row r="736" spans="1:9" ht="15.75">
      <c r="A736" s="12" t="s">
        <v>181</v>
      </c>
      <c r="B736" s="21" t="s">
        <v>202</v>
      </c>
      <c r="C736" s="21" t="s">
        <v>202</v>
      </c>
      <c r="D736" s="11" t="s">
        <v>247</v>
      </c>
      <c r="E736" s="22"/>
      <c r="F736" s="4">
        <f t="shared" si="77"/>
        <v>39146</v>
      </c>
      <c r="G736" s="4">
        <f t="shared" si="77"/>
        <v>39146</v>
      </c>
      <c r="H736" s="4">
        <f t="shared" si="77"/>
        <v>38698</v>
      </c>
      <c r="I736" s="152">
        <f t="shared" si="65"/>
        <v>98.85556634138865</v>
      </c>
    </row>
    <row r="737" spans="1:9" ht="15.75">
      <c r="A737" s="20" t="s">
        <v>243</v>
      </c>
      <c r="B737" s="21" t="s">
        <v>202</v>
      </c>
      <c r="C737" s="21" t="s">
        <v>202</v>
      </c>
      <c r="D737" s="11" t="s">
        <v>247</v>
      </c>
      <c r="E737" s="22" t="s">
        <v>244</v>
      </c>
      <c r="F737" s="4">
        <f>37679-1584+2600+451</f>
        <v>39146</v>
      </c>
      <c r="G737" s="4">
        <f>37679-1584+2600+451</f>
        <v>39146</v>
      </c>
      <c r="H737" s="4">
        <v>38698</v>
      </c>
      <c r="I737" s="152">
        <f aca="true" t="shared" si="78" ref="I737:I800">H737/G737*100</f>
        <v>98.85556634138865</v>
      </c>
    </row>
    <row r="738" spans="1:9" ht="15.75">
      <c r="A738" s="15" t="s">
        <v>223</v>
      </c>
      <c r="B738" s="21" t="s">
        <v>202</v>
      </c>
      <c r="C738" s="21" t="s">
        <v>202</v>
      </c>
      <c r="D738" s="11" t="s">
        <v>383</v>
      </c>
      <c r="E738" s="22"/>
      <c r="F738" s="4">
        <f>F741+F739</f>
        <v>63317</v>
      </c>
      <c r="G738" s="4">
        <f>G741+G739</f>
        <v>64122</v>
      </c>
      <c r="H738" s="4">
        <f>H741+H739</f>
        <v>63934</v>
      </c>
      <c r="I738" s="152">
        <f t="shared" si="78"/>
        <v>99.70680889554288</v>
      </c>
    </row>
    <row r="739" spans="1:9" ht="15.75">
      <c r="A739" s="20" t="s">
        <v>2</v>
      </c>
      <c r="B739" s="17" t="s">
        <v>202</v>
      </c>
      <c r="C739" s="17" t="s">
        <v>202</v>
      </c>
      <c r="D739" s="18" t="s">
        <v>612</v>
      </c>
      <c r="E739" s="19"/>
      <c r="F739" s="24">
        <f>F740</f>
        <v>1706</v>
      </c>
      <c r="G739" s="24">
        <f>G740</f>
        <v>1706</v>
      </c>
      <c r="H739" s="24">
        <f>H740</f>
        <v>1589</v>
      </c>
      <c r="I739" s="152">
        <f t="shared" si="78"/>
        <v>93.14185228604924</v>
      </c>
    </row>
    <row r="740" spans="1:9" ht="15.75">
      <c r="A740" s="20" t="s">
        <v>243</v>
      </c>
      <c r="B740" s="17" t="s">
        <v>202</v>
      </c>
      <c r="C740" s="17" t="s">
        <v>202</v>
      </c>
      <c r="D740" s="18" t="s">
        <v>612</v>
      </c>
      <c r="E740" s="19" t="s">
        <v>244</v>
      </c>
      <c r="F740" s="24">
        <f>2030-324</f>
        <v>1706</v>
      </c>
      <c r="G740" s="24">
        <f>2030-324</f>
        <v>1706</v>
      </c>
      <c r="H740" s="24">
        <v>1589</v>
      </c>
      <c r="I740" s="152">
        <f t="shared" si="78"/>
        <v>93.14185228604924</v>
      </c>
    </row>
    <row r="741" spans="1:9" ht="15.75">
      <c r="A741" s="12" t="s">
        <v>176</v>
      </c>
      <c r="B741" s="21" t="s">
        <v>202</v>
      </c>
      <c r="C741" s="21" t="s">
        <v>202</v>
      </c>
      <c r="D741" s="11" t="s">
        <v>384</v>
      </c>
      <c r="E741" s="22"/>
      <c r="F741" s="4">
        <f>F742</f>
        <v>61611</v>
      </c>
      <c r="G741" s="4">
        <f>G742</f>
        <v>62416</v>
      </c>
      <c r="H741" s="4">
        <f>H742</f>
        <v>62345</v>
      </c>
      <c r="I741" s="152">
        <f t="shared" si="78"/>
        <v>99.88624711612407</v>
      </c>
    </row>
    <row r="742" spans="1:9" ht="15.75">
      <c r="A742" s="45" t="s">
        <v>292</v>
      </c>
      <c r="B742" s="21" t="s">
        <v>202</v>
      </c>
      <c r="C742" s="21" t="s">
        <v>202</v>
      </c>
      <c r="D742" s="11" t="s">
        <v>384</v>
      </c>
      <c r="E742" s="22" t="s">
        <v>274</v>
      </c>
      <c r="F742" s="4">
        <f>57887+1630+1165-295+1145+79</f>
        <v>61611</v>
      </c>
      <c r="G742" s="4">
        <v>62416</v>
      </c>
      <c r="H742" s="4">
        <v>62345</v>
      </c>
      <c r="I742" s="152">
        <f t="shared" si="78"/>
        <v>99.88624711612407</v>
      </c>
    </row>
    <row r="743" spans="1:9" ht="15.75">
      <c r="A743" s="45" t="s">
        <v>250</v>
      </c>
      <c r="B743" s="17" t="s">
        <v>202</v>
      </c>
      <c r="C743" s="17" t="s">
        <v>202</v>
      </c>
      <c r="D743" s="18" t="s">
        <v>424</v>
      </c>
      <c r="E743" s="19"/>
      <c r="F743" s="24">
        <f>F744</f>
        <v>38053</v>
      </c>
      <c r="G743" s="24">
        <f>G744</f>
        <v>38053</v>
      </c>
      <c r="H743" s="24">
        <f>H744</f>
        <v>37318</v>
      </c>
      <c r="I743" s="152">
        <f t="shared" si="78"/>
        <v>98.06848343100413</v>
      </c>
    </row>
    <row r="744" spans="1:9" ht="63">
      <c r="A744" s="45" t="s">
        <v>468</v>
      </c>
      <c r="B744" s="17" t="s">
        <v>202</v>
      </c>
      <c r="C744" s="17" t="s">
        <v>202</v>
      </c>
      <c r="D744" s="18" t="s">
        <v>469</v>
      </c>
      <c r="E744" s="19"/>
      <c r="F744" s="24">
        <f>F747+F745</f>
        <v>38053</v>
      </c>
      <c r="G744" s="24">
        <f>G747+G745</f>
        <v>38053</v>
      </c>
      <c r="H744" s="24">
        <f>H747+H745</f>
        <v>37318</v>
      </c>
      <c r="I744" s="152">
        <f t="shared" si="78"/>
        <v>98.06848343100413</v>
      </c>
    </row>
    <row r="745" spans="1:9" ht="66" customHeight="1">
      <c r="A745" s="45" t="s">
        <v>486</v>
      </c>
      <c r="B745" s="17" t="s">
        <v>202</v>
      </c>
      <c r="C745" s="17" t="s">
        <v>202</v>
      </c>
      <c r="D745" s="18" t="s">
        <v>487</v>
      </c>
      <c r="E745" s="19"/>
      <c r="F745" s="24">
        <f>F746</f>
        <v>17364</v>
      </c>
      <c r="G745" s="24">
        <f>G746</f>
        <v>17364</v>
      </c>
      <c r="H745" s="24">
        <f>H746</f>
        <v>16884</v>
      </c>
      <c r="I745" s="152">
        <f t="shared" si="78"/>
        <v>97.2356599861783</v>
      </c>
    </row>
    <row r="746" spans="1:9" ht="15.75">
      <c r="A746" s="20" t="s">
        <v>243</v>
      </c>
      <c r="B746" s="17" t="s">
        <v>202</v>
      </c>
      <c r="C746" s="17" t="s">
        <v>202</v>
      </c>
      <c r="D746" s="18" t="s">
        <v>487</v>
      </c>
      <c r="E746" s="19" t="s">
        <v>244</v>
      </c>
      <c r="F746" s="24">
        <f>17364</f>
        <v>17364</v>
      </c>
      <c r="G746" s="24">
        <f>17364</f>
        <v>17364</v>
      </c>
      <c r="H746" s="24">
        <v>16884</v>
      </c>
      <c r="I746" s="152">
        <f t="shared" si="78"/>
        <v>97.2356599861783</v>
      </c>
    </row>
    <row r="747" spans="1:9" ht="31.5">
      <c r="A747" s="45" t="s">
        <v>484</v>
      </c>
      <c r="B747" s="17" t="s">
        <v>202</v>
      </c>
      <c r="C747" s="17" t="s">
        <v>202</v>
      </c>
      <c r="D747" s="18" t="s">
        <v>485</v>
      </c>
      <c r="E747" s="19"/>
      <c r="F747" s="24">
        <f>F748</f>
        <v>20689</v>
      </c>
      <c r="G747" s="24">
        <f>G748</f>
        <v>20689</v>
      </c>
      <c r="H747" s="24">
        <f>H748</f>
        <v>20434</v>
      </c>
      <c r="I747" s="152">
        <f t="shared" si="78"/>
        <v>98.76746096959738</v>
      </c>
    </row>
    <row r="748" spans="1:9" ht="15.75">
      <c r="A748" s="20" t="s">
        <v>243</v>
      </c>
      <c r="B748" s="17" t="s">
        <v>202</v>
      </c>
      <c r="C748" s="17" t="s">
        <v>202</v>
      </c>
      <c r="D748" s="18" t="s">
        <v>485</v>
      </c>
      <c r="E748" s="19" t="s">
        <v>244</v>
      </c>
      <c r="F748" s="24">
        <f>20689</f>
        <v>20689</v>
      </c>
      <c r="G748" s="24">
        <f>20689</f>
        <v>20689</v>
      </c>
      <c r="H748" s="24">
        <v>20434</v>
      </c>
      <c r="I748" s="152">
        <f t="shared" si="78"/>
        <v>98.76746096959738</v>
      </c>
    </row>
    <row r="749" spans="1:9" ht="15.75">
      <c r="A749" s="9" t="s">
        <v>230</v>
      </c>
      <c r="B749" s="21" t="s">
        <v>202</v>
      </c>
      <c r="C749" s="21" t="s">
        <v>202</v>
      </c>
      <c r="D749" s="11" t="s">
        <v>286</v>
      </c>
      <c r="E749" s="22"/>
      <c r="F749" s="4">
        <f>F750+F753+F759+F761+F764+F755+F757</f>
        <v>48385</v>
      </c>
      <c r="G749" s="4">
        <f>G750+G753+G759+G761+G764+G755+G757</f>
        <v>47534</v>
      </c>
      <c r="H749" s="4">
        <f>H750+H753+H759+H761+H764+H755+H757</f>
        <v>47453</v>
      </c>
      <c r="I749" s="152">
        <f t="shared" si="78"/>
        <v>99.82959565784492</v>
      </c>
    </row>
    <row r="750" spans="1:9" ht="31.5">
      <c r="A750" s="15" t="s">
        <v>516</v>
      </c>
      <c r="B750" s="21" t="s">
        <v>202</v>
      </c>
      <c r="C750" s="21" t="s">
        <v>202</v>
      </c>
      <c r="D750" s="11" t="s">
        <v>385</v>
      </c>
      <c r="E750" s="22"/>
      <c r="F750" s="4">
        <f>F751+F752</f>
        <v>27076</v>
      </c>
      <c r="G750" s="4">
        <f>G751+G752</f>
        <v>27076</v>
      </c>
      <c r="H750" s="4">
        <f>H751+H752</f>
        <v>27042</v>
      </c>
      <c r="I750" s="152">
        <f t="shared" si="78"/>
        <v>99.87442753730241</v>
      </c>
    </row>
    <row r="751" spans="1:9" ht="15.75">
      <c r="A751" s="45" t="s">
        <v>292</v>
      </c>
      <c r="B751" s="21" t="s">
        <v>202</v>
      </c>
      <c r="C751" s="21" t="s">
        <v>202</v>
      </c>
      <c r="D751" s="11" t="s">
        <v>385</v>
      </c>
      <c r="E751" s="22" t="s">
        <v>274</v>
      </c>
      <c r="F751" s="4">
        <f>28332-2181</f>
        <v>26151</v>
      </c>
      <c r="G751" s="4">
        <v>26675</v>
      </c>
      <c r="H751" s="4">
        <v>26641</v>
      </c>
      <c r="I751" s="152">
        <f t="shared" si="78"/>
        <v>99.87253983130272</v>
      </c>
    </row>
    <row r="752" spans="1:9" ht="15.75">
      <c r="A752" s="20" t="s">
        <v>581</v>
      </c>
      <c r="B752" s="17" t="s">
        <v>202</v>
      </c>
      <c r="C752" s="21" t="s">
        <v>202</v>
      </c>
      <c r="D752" s="18" t="s">
        <v>385</v>
      </c>
      <c r="E752" s="19" t="s">
        <v>582</v>
      </c>
      <c r="F752" s="4">
        <f>925</f>
        <v>925</v>
      </c>
      <c r="G752" s="4">
        <v>401</v>
      </c>
      <c r="H752" s="4">
        <v>401</v>
      </c>
      <c r="I752" s="152">
        <f t="shared" si="78"/>
        <v>100</v>
      </c>
    </row>
    <row r="753" spans="1:9" ht="31.5">
      <c r="A753" s="15" t="s">
        <v>517</v>
      </c>
      <c r="B753" s="21" t="s">
        <v>202</v>
      </c>
      <c r="C753" s="21" t="s">
        <v>202</v>
      </c>
      <c r="D753" s="11" t="s">
        <v>307</v>
      </c>
      <c r="E753" s="22"/>
      <c r="F753" s="4">
        <f>F754</f>
        <v>973</v>
      </c>
      <c r="G753" s="4">
        <f>G754</f>
        <v>973</v>
      </c>
      <c r="H753" s="4">
        <f>H754</f>
        <v>973</v>
      </c>
      <c r="I753" s="152">
        <f t="shared" si="78"/>
        <v>100</v>
      </c>
    </row>
    <row r="754" spans="1:9" ht="15.75">
      <c r="A754" s="45" t="s">
        <v>292</v>
      </c>
      <c r="B754" s="17" t="s">
        <v>202</v>
      </c>
      <c r="C754" s="21" t="s">
        <v>202</v>
      </c>
      <c r="D754" s="18" t="s">
        <v>307</v>
      </c>
      <c r="E754" s="19" t="s">
        <v>274</v>
      </c>
      <c r="F754" s="4">
        <f>973</f>
        <v>973</v>
      </c>
      <c r="G754" s="4">
        <f>973</f>
        <v>973</v>
      </c>
      <c r="H754" s="4">
        <f>973</f>
        <v>973</v>
      </c>
      <c r="I754" s="152">
        <f t="shared" si="78"/>
        <v>100</v>
      </c>
    </row>
    <row r="755" spans="1:9" ht="31.5">
      <c r="A755" s="45" t="s">
        <v>506</v>
      </c>
      <c r="B755" s="17" t="s">
        <v>202</v>
      </c>
      <c r="C755" s="21" t="s">
        <v>202</v>
      </c>
      <c r="D755" s="18" t="s">
        <v>363</v>
      </c>
      <c r="E755" s="19"/>
      <c r="F755" s="4">
        <f>F756</f>
        <v>12</v>
      </c>
      <c r="G755" s="4">
        <f>G756</f>
        <v>12</v>
      </c>
      <c r="H755" s="4">
        <f>H756</f>
        <v>12</v>
      </c>
      <c r="I755" s="152">
        <f t="shared" si="78"/>
        <v>100</v>
      </c>
    </row>
    <row r="756" spans="1:9" ht="15.75">
      <c r="A756" s="45" t="s">
        <v>292</v>
      </c>
      <c r="B756" s="17" t="s">
        <v>202</v>
      </c>
      <c r="C756" s="21" t="s">
        <v>202</v>
      </c>
      <c r="D756" s="18" t="s">
        <v>363</v>
      </c>
      <c r="E756" s="19" t="s">
        <v>274</v>
      </c>
      <c r="F756" s="4">
        <f>12</f>
        <v>12</v>
      </c>
      <c r="G756" s="4">
        <f>12</f>
        <v>12</v>
      </c>
      <c r="H756" s="4">
        <f>12</f>
        <v>12</v>
      </c>
      <c r="I756" s="152">
        <f t="shared" si="78"/>
        <v>100</v>
      </c>
    </row>
    <row r="757" spans="1:9" ht="47.25" hidden="1">
      <c r="A757" s="45" t="s">
        <v>512</v>
      </c>
      <c r="B757" s="17" t="s">
        <v>202</v>
      </c>
      <c r="C757" s="21" t="s">
        <v>202</v>
      </c>
      <c r="D757" s="18" t="s">
        <v>311</v>
      </c>
      <c r="E757" s="19"/>
      <c r="F757" s="4">
        <f>F758</f>
        <v>355</v>
      </c>
      <c r="G757" s="4">
        <f>G758</f>
        <v>0</v>
      </c>
      <c r="H757" s="4">
        <f>H758</f>
        <v>0</v>
      </c>
      <c r="I757" s="152">
        <v>0</v>
      </c>
    </row>
    <row r="758" spans="1:9" ht="15.75" hidden="1">
      <c r="A758" s="20" t="s">
        <v>243</v>
      </c>
      <c r="B758" s="17" t="s">
        <v>202</v>
      </c>
      <c r="C758" s="21" t="s">
        <v>202</v>
      </c>
      <c r="D758" s="18" t="s">
        <v>311</v>
      </c>
      <c r="E758" s="19" t="s">
        <v>244</v>
      </c>
      <c r="F758" s="4">
        <f>355</f>
        <v>355</v>
      </c>
      <c r="G758" s="4">
        <v>0</v>
      </c>
      <c r="H758" s="4">
        <v>0</v>
      </c>
      <c r="I758" s="152">
        <v>0</v>
      </c>
    </row>
    <row r="759" spans="1:9" ht="31.5">
      <c r="A759" s="45" t="s">
        <v>507</v>
      </c>
      <c r="B759" s="21" t="s">
        <v>202</v>
      </c>
      <c r="C759" s="21" t="s">
        <v>202</v>
      </c>
      <c r="D759" s="11" t="s">
        <v>343</v>
      </c>
      <c r="E759" s="22"/>
      <c r="F759" s="4">
        <f>F760</f>
        <v>10</v>
      </c>
      <c r="G759" s="4">
        <f>G760</f>
        <v>10</v>
      </c>
      <c r="H759" s="4">
        <f>H760</f>
        <v>10</v>
      </c>
      <c r="I759" s="152">
        <f t="shared" si="78"/>
        <v>100</v>
      </c>
    </row>
    <row r="760" spans="1:9" ht="15.75">
      <c r="A760" s="20" t="s">
        <v>581</v>
      </c>
      <c r="B760" s="21" t="s">
        <v>202</v>
      </c>
      <c r="C760" s="21" t="s">
        <v>202</v>
      </c>
      <c r="D760" s="11" t="s">
        <v>343</v>
      </c>
      <c r="E760" s="22" t="s">
        <v>582</v>
      </c>
      <c r="F760" s="4">
        <f>10</f>
        <v>10</v>
      </c>
      <c r="G760" s="4">
        <f>10</f>
        <v>10</v>
      </c>
      <c r="H760" s="4">
        <f>10</f>
        <v>10</v>
      </c>
      <c r="I760" s="152">
        <f t="shared" si="78"/>
        <v>100</v>
      </c>
    </row>
    <row r="761" spans="1:9" ht="47.25">
      <c r="A761" s="20" t="s">
        <v>513</v>
      </c>
      <c r="B761" s="21" t="s">
        <v>202</v>
      </c>
      <c r="C761" s="21" t="s">
        <v>202</v>
      </c>
      <c r="D761" s="11" t="s">
        <v>509</v>
      </c>
      <c r="E761" s="22"/>
      <c r="F761" s="4">
        <f>F762+F763</f>
        <v>4083</v>
      </c>
      <c r="G761" s="4">
        <f>G762+G763</f>
        <v>3587</v>
      </c>
      <c r="H761" s="4">
        <f>H762+H763</f>
        <v>3566</v>
      </c>
      <c r="I761" s="152">
        <f t="shared" si="78"/>
        <v>99.41455255087817</v>
      </c>
    </row>
    <row r="762" spans="1:9" ht="15.75">
      <c r="A762" s="45" t="s">
        <v>292</v>
      </c>
      <c r="B762" s="17" t="s">
        <v>202</v>
      </c>
      <c r="C762" s="21" t="s">
        <v>202</v>
      </c>
      <c r="D762" s="18" t="s">
        <v>509</v>
      </c>
      <c r="E762" s="22" t="s">
        <v>274</v>
      </c>
      <c r="F762" s="4">
        <f>5946-2359</f>
        <v>3587</v>
      </c>
      <c r="G762" s="4">
        <v>3477</v>
      </c>
      <c r="H762" s="4">
        <v>3456</v>
      </c>
      <c r="I762" s="152">
        <f t="shared" si="78"/>
        <v>99.3960310612597</v>
      </c>
    </row>
    <row r="763" spans="1:9" ht="15.75">
      <c r="A763" s="20" t="s">
        <v>243</v>
      </c>
      <c r="B763" s="17" t="s">
        <v>202</v>
      </c>
      <c r="C763" s="21" t="s">
        <v>202</v>
      </c>
      <c r="D763" s="18" t="s">
        <v>509</v>
      </c>
      <c r="E763" s="19" t="s">
        <v>244</v>
      </c>
      <c r="F763" s="4">
        <f>496</f>
        <v>496</v>
      </c>
      <c r="G763" s="4">
        <v>110</v>
      </c>
      <c r="H763" s="4">
        <v>110</v>
      </c>
      <c r="I763" s="152">
        <f t="shared" si="78"/>
        <v>100</v>
      </c>
    </row>
    <row r="764" spans="1:9" ht="47.25">
      <c r="A764" s="26" t="s">
        <v>598</v>
      </c>
      <c r="B764" s="17" t="s">
        <v>202</v>
      </c>
      <c r="C764" s="17" t="s">
        <v>202</v>
      </c>
      <c r="D764" s="18" t="s">
        <v>386</v>
      </c>
      <c r="E764" s="19"/>
      <c r="F764" s="24">
        <f>F765+F766</f>
        <v>15876</v>
      </c>
      <c r="G764" s="24">
        <f>G765+G766</f>
        <v>15876</v>
      </c>
      <c r="H764" s="24">
        <f>H765+H766</f>
        <v>15850</v>
      </c>
      <c r="I764" s="152">
        <f t="shared" si="78"/>
        <v>99.83623078861174</v>
      </c>
    </row>
    <row r="765" spans="1:9" ht="15.75">
      <c r="A765" s="45" t="s">
        <v>292</v>
      </c>
      <c r="B765" s="17" t="s">
        <v>202</v>
      </c>
      <c r="C765" s="17" t="s">
        <v>202</v>
      </c>
      <c r="D765" s="18" t="s">
        <v>386</v>
      </c>
      <c r="E765" s="19" t="s">
        <v>274</v>
      </c>
      <c r="F765" s="24">
        <f>31488+27402-44526</f>
        <v>14364</v>
      </c>
      <c r="G765" s="24">
        <v>14376</v>
      </c>
      <c r="H765" s="24">
        <v>14350</v>
      </c>
      <c r="I765" s="152">
        <f t="shared" si="78"/>
        <v>99.81914301613801</v>
      </c>
    </row>
    <row r="766" spans="1:9" ht="15.75">
      <c r="A766" s="20" t="s">
        <v>581</v>
      </c>
      <c r="B766" s="17" t="s">
        <v>202</v>
      </c>
      <c r="C766" s="17" t="s">
        <v>202</v>
      </c>
      <c r="D766" s="18" t="s">
        <v>386</v>
      </c>
      <c r="E766" s="19" t="s">
        <v>582</v>
      </c>
      <c r="F766" s="24">
        <f>1512</f>
        <v>1512</v>
      </c>
      <c r="G766" s="24">
        <v>1500</v>
      </c>
      <c r="H766" s="24">
        <v>1500</v>
      </c>
      <c r="I766" s="152">
        <f t="shared" si="78"/>
        <v>100</v>
      </c>
    </row>
    <row r="767" spans="1:9" ht="12" customHeight="1">
      <c r="A767" s="12"/>
      <c r="B767" s="21"/>
      <c r="C767" s="21"/>
      <c r="D767" s="11"/>
      <c r="E767" s="22"/>
      <c r="F767" s="13"/>
      <c r="G767" s="13"/>
      <c r="H767" s="13"/>
      <c r="I767" s="152"/>
    </row>
    <row r="768" spans="1:9" ht="15.75">
      <c r="A768" s="40" t="s">
        <v>387</v>
      </c>
      <c r="B768" s="54" t="s">
        <v>203</v>
      </c>
      <c r="C768" s="54"/>
      <c r="D768" s="11"/>
      <c r="E768" s="22"/>
      <c r="F768" s="5">
        <f>F769+F774+F788+F851+F839</f>
        <v>349486</v>
      </c>
      <c r="G768" s="5">
        <f>G769+G774+G788+G851+G839</f>
        <v>822221</v>
      </c>
      <c r="H768" s="5">
        <f>H769+H774+H788+H851+H839</f>
        <v>799445</v>
      </c>
      <c r="I768" s="154">
        <f t="shared" si="78"/>
        <v>97.22994182829191</v>
      </c>
    </row>
    <row r="769" spans="1:9" ht="15.75">
      <c r="A769" s="27" t="s">
        <v>388</v>
      </c>
      <c r="B769" s="28" t="s">
        <v>203</v>
      </c>
      <c r="C769" s="28" t="s">
        <v>195</v>
      </c>
      <c r="D769" s="35"/>
      <c r="E769" s="36"/>
      <c r="F769" s="7">
        <f aca="true" t="shared" si="79" ref="F769:H771">F770</f>
        <v>12000</v>
      </c>
      <c r="G769" s="7">
        <f t="shared" si="79"/>
        <v>12000</v>
      </c>
      <c r="H769" s="7">
        <f t="shared" si="79"/>
        <v>10699</v>
      </c>
      <c r="I769" s="154">
        <f t="shared" si="78"/>
        <v>89.15833333333333</v>
      </c>
    </row>
    <row r="770" spans="1:9" ht="15.75">
      <c r="A770" s="15" t="s">
        <v>389</v>
      </c>
      <c r="B770" s="34" t="s">
        <v>203</v>
      </c>
      <c r="C770" s="34" t="s">
        <v>195</v>
      </c>
      <c r="D770" s="10" t="s">
        <v>390</v>
      </c>
      <c r="E770" s="25"/>
      <c r="F770" s="6">
        <f t="shared" si="79"/>
        <v>12000</v>
      </c>
      <c r="G770" s="6">
        <f t="shared" si="79"/>
        <v>12000</v>
      </c>
      <c r="H770" s="6">
        <f t="shared" si="79"/>
        <v>10699</v>
      </c>
      <c r="I770" s="152">
        <f t="shared" si="78"/>
        <v>89.15833333333333</v>
      </c>
    </row>
    <row r="771" spans="1:9" ht="31.5">
      <c r="A771" s="15" t="s">
        <v>219</v>
      </c>
      <c r="B771" s="34" t="s">
        <v>203</v>
      </c>
      <c r="C771" s="34" t="s">
        <v>195</v>
      </c>
      <c r="D771" s="10" t="s">
        <v>443</v>
      </c>
      <c r="E771" s="25"/>
      <c r="F771" s="6">
        <f t="shared" si="79"/>
        <v>12000</v>
      </c>
      <c r="G771" s="6">
        <f t="shared" si="79"/>
        <v>12000</v>
      </c>
      <c r="H771" s="6">
        <f t="shared" si="79"/>
        <v>10699</v>
      </c>
      <c r="I771" s="152">
        <f t="shared" si="78"/>
        <v>89.15833333333333</v>
      </c>
    </row>
    <row r="772" spans="1:9" ht="15.75">
      <c r="A772" s="15" t="s">
        <v>284</v>
      </c>
      <c r="B772" s="34" t="s">
        <v>203</v>
      </c>
      <c r="C772" s="34" t="s">
        <v>195</v>
      </c>
      <c r="D772" s="10" t="s">
        <v>443</v>
      </c>
      <c r="E772" s="25" t="s">
        <v>180</v>
      </c>
      <c r="F772" s="6">
        <f>12000</f>
        <v>12000</v>
      </c>
      <c r="G772" s="6">
        <f>12000</f>
        <v>12000</v>
      </c>
      <c r="H772" s="6">
        <v>10699</v>
      </c>
      <c r="I772" s="152">
        <f t="shared" si="78"/>
        <v>89.15833333333333</v>
      </c>
    </row>
    <row r="773" spans="1:9" ht="12" customHeight="1">
      <c r="A773" s="15"/>
      <c r="B773" s="54"/>
      <c r="C773" s="54"/>
      <c r="D773" s="11"/>
      <c r="E773" s="22"/>
      <c r="F773" s="6"/>
      <c r="G773" s="6"/>
      <c r="H773" s="6"/>
      <c r="I773" s="152"/>
    </row>
    <row r="774" spans="1:9" ht="15.75">
      <c r="A774" s="27" t="s">
        <v>391</v>
      </c>
      <c r="B774" s="28" t="s">
        <v>203</v>
      </c>
      <c r="C774" s="28" t="s">
        <v>196</v>
      </c>
      <c r="D774" s="35"/>
      <c r="E774" s="36"/>
      <c r="F774" s="7">
        <f>F782+F775</f>
        <v>115257</v>
      </c>
      <c r="G774" s="7">
        <f>G782+G775</f>
        <v>119530</v>
      </c>
      <c r="H774" s="7">
        <f>H782+H775</f>
        <v>118046</v>
      </c>
      <c r="I774" s="154">
        <f t="shared" si="78"/>
        <v>98.75847067681754</v>
      </c>
    </row>
    <row r="775" spans="1:9" ht="15.75">
      <c r="A775" s="15" t="s">
        <v>187</v>
      </c>
      <c r="B775" s="34" t="s">
        <v>203</v>
      </c>
      <c r="C775" s="34" t="s">
        <v>196</v>
      </c>
      <c r="D775" s="10" t="s">
        <v>256</v>
      </c>
      <c r="E775" s="25"/>
      <c r="F775" s="6">
        <f>F776+F779</f>
        <v>0</v>
      </c>
      <c r="G775" s="6">
        <f>G776+G779</f>
        <v>250</v>
      </c>
      <c r="H775" s="6">
        <f>H776+H779</f>
        <v>173</v>
      </c>
      <c r="I775" s="152">
        <f t="shared" si="78"/>
        <v>69.19999999999999</v>
      </c>
    </row>
    <row r="776" spans="1:9" ht="31.5">
      <c r="A776" s="146" t="s">
        <v>146</v>
      </c>
      <c r="B776" s="34" t="s">
        <v>203</v>
      </c>
      <c r="C776" s="34" t="s">
        <v>196</v>
      </c>
      <c r="D776" s="10" t="s">
        <v>144</v>
      </c>
      <c r="E776" s="25"/>
      <c r="F776" s="6">
        <f aca="true" t="shared" si="80" ref="F776:H777">F777</f>
        <v>0</v>
      </c>
      <c r="G776" s="6">
        <f t="shared" si="80"/>
        <v>68</v>
      </c>
      <c r="H776" s="6">
        <f t="shared" si="80"/>
        <v>0</v>
      </c>
      <c r="I776" s="152">
        <f t="shared" si="78"/>
        <v>0</v>
      </c>
    </row>
    <row r="777" spans="1:9" ht="31.5">
      <c r="A777" s="146" t="s">
        <v>146</v>
      </c>
      <c r="B777" s="34" t="s">
        <v>203</v>
      </c>
      <c r="C777" s="34" t="s">
        <v>196</v>
      </c>
      <c r="D777" s="10" t="s">
        <v>145</v>
      </c>
      <c r="E777" s="25"/>
      <c r="F777" s="6">
        <f t="shared" si="80"/>
        <v>0</v>
      </c>
      <c r="G777" s="6">
        <f t="shared" si="80"/>
        <v>68</v>
      </c>
      <c r="H777" s="6">
        <f t="shared" si="80"/>
        <v>0</v>
      </c>
      <c r="I777" s="152">
        <f t="shared" si="78"/>
        <v>0</v>
      </c>
    </row>
    <row r="778" spans="1:9" ht="15.75">
      <c r="A778" s="45" t="s">
        <v>292</v>
      </c>
      <c r="B778" s="34" t="s">
        <v>203</v>
      </c>
      <c r="C778" s="34" t="s">
        <v>196</v>
      </c>
      <c r="D778" s="10" t="s">
        <v>145</v>
      </c>
      <c r="E778" s="25" t="s">
        <v>274</v>
      </c>
      <c r="F778" s="6">
        <v>0</v>
      </c>
      <c r="G778" s="6">
        <v>68</v>
      </c>
      <c r="H778" s="6">
        <v>0</v>
      </c>
      <c r="I778" s="152">
        <f t="shared" si="78"/>
        <v>0</v>
      </c>
    </row>
    <row r="779" spans="1:9" ht="15.75">
      <c r="A779" s="12" t="s">
        <v>257</v>
      </c>
      <c r="B779" s="34" t="s">
        <v>203</v>
      </c>
      <c r="C779" s="34" t="s">
        <v>196</v>
      </c>
      <c r="D779" s="10" t="s">
        <v>258</v>
      </c>
      <c r="E779" s="25"/>
      <c r="F779" s="6">
        <f aca="true" t="shared" si="81" ref="F779:H780">F780</f>
        <v>0</v>
      </c>
      <c r="G779" s="6">
        <f t="shared" si="81"/>
        <v>182</v>
      </c>
      <c r="H779" s="6">
        <f t="shared" si="81"/>
        <v>173</v>
      </c>
      <c r="I779" s="152">
        <f t="shared" si="78"/>
        <v>95.05494505494505</v>
      </c>
    </row>
    <row r="780" spans="1:9" ht="15.75">
      <c r="A780" s="32" t="s">
        <v>434</v>
      </c>
      <c r="B780" s="34" t="s">
        <v>203</v>
      </c>
      <c r="C780" s="34" t="s">
        <v>196</v>
      </c>
      <c r="D780" s="10" t="s">
        <v>259</v>
      </c>
      <c r="E780" s="25"/>
      <c r="F780" s="6">
        <f t="shared" si="81"/>
        <v>0</v>
      </c>
      <c r="G780" s="6">
        <f t="shared" si="81"/>
        <v>182</v>
      </c>
      <c r="H780" s="6">
        <f t="shared" si="81"/>
        <v>173</v>
      </c>
      <c r="I780" s="152">
        <f t="shared" si="78"/>
        <v>95.05494505494505</v>
      </c>
    </row>
    <row r="781" spans="1:9" ht="15.75">
      <c r="A781" s="45" t="s">
        <v>292</v>
      </c>
      <c r="B781" s="34" t="s">
        <v>203</v>
      </c>
      <c r="C781" s="34" t="s">
        <v>196</v>
      </c>
      <c r="D781" s="10" t="s">
        <v>259</v>
      </c>
      <c r="E781" s="25" t="s">
        <v>274</v>
      </c>
      <c r="F781" s="6">
        <v>0</v>
      </c>
      <c r="G781" s="6">
        <v>182</v>
      </c>
      <c r="H781" s="6">
        <v>173</v>
      </c>
      <c r="I781" s="152">
        <f t="shared" si="78"/>
        <v>95.05494505494505</v>
      </c>
    </row>
    <row r="782" spans="1:9" ht="15.75">
      <c r="A782" s="15" t="s">
        <v>220</v>
      </c>
      <c r="B782" s="34" t="s">
        <v>203</v>
      </c>
      <c r="C782" s="34" t="s">
        <v>196</v>
      </c>
      <c r="D782" s="10" t="s">
        <v>392</v>
      </c>
      <c r="E782" s="25"/>
      <c r="F782" s="6">
        <f>F785+F783</f>
        <v>115257</v>
      </c>
      <c r="G782" s="6">
        <f>G785+G783</f>
        <v>119280</v>
      </c>
      <c r="H782" s="6">
        <f>H785+H783</f>
        <v>117873</v>
      </c>
      <c r="I782" s="152">
        <f t="shared" si="78"/>
        <v>98.82042253521128</v>
      </c>
    </row>
    <row r="783" spans="1:9" ht="15.75">
      <c r="A783" s="100" t="s">
        <v>2</v>
      </c>
      <c r="B783" s="34" t="s">
        <v>203</v>
      </c>
      <c r="C783" s="34" t="s">
        <v>196</v>
      </c>
      <c r="D783" s="10" t="s">
        <v>615</v>
      </c>
      <c r="E783" s="25"/>
      <c r="F783" s="6">
        <f>F784</f>
        <v>1878</v>
      </c>
      <c r="G783" s="6">
        <f>G784</f>
        <v>1762</v>
      </c>
      <c r="H783" s="6">
        <f>H784</f>
        <v>1380</v>
      </c>
      <c r="I783" s="152">
        <f t="shared" si="78"/>
        <v>78.32009080590238</v>
      </c>
    </row>
    <row r="784" spans="1:9" ht="15.75">
      <c r="A784" s="20" t="s">
        <v>243</v>
      </c>
      <c r="B784" s="34" t="s">
        <v>203</v>
      </c>
      <c r="C784" s="34" t="s">
        <v>196</v>
      </c>
      <c r="D784" s="10" t="s">
        <v>615</v>
      </c>
      <c r="E784" s="25" t="s">
        <v>244</v>
      </c>
      <c r="F784" s="6">
        <f>1994-116</f>
        <v>1878</v>
      </c>
      <c r="G784" s="6">
        <v>1762</v>
      </c>
      <c r="H784" s="6">
        <v>1380</v>
      </c>
      <c r="I784" s="152">
        <f t="shared" si="78"/>
        <v>78.32009080590238</v>
      </c>
    </row>
    <row r="785" spans="1:9" ht="15.75">
      <c r="A785" s="12" t="s">
        <v>176</v>
      </c>
      <c r="B785" s="34" t="s">
        <v>203</v>
      </c>
      <c r="C785" s="34" t="s">
        <v>196</v>
      </c>
      <c r="D785" s="10" t="s">
        <v>393</v>
      </c>
      <c r="E785" s="25"/>
      <c r="F785" s="6">
        <f>F786</f>
        <v>113379</v>
      </c>
      <c r="G785" s="6">
        <f>G786</f>
        <v>117518</v>
      </c>
      <c r="H785" s="6">
        <f>H786</f>
        <v>116493</v>
      </c>
      <c r="I785" s="152">
        <f t="shared" si="78"/>
        <v>99.12779318912848</v>
      </c>
    </row>
    <row r="786" spans="1:9" ht="15.75">
      <c r="A786" s="45" t="s">
        <v>292</v>
      </c>
      <c r="B786" s="34" t="s">
        <v>203</v>
      </c>
      <c r="C786" s="34" t="s">
        <v>196</v>
      </c>
      <c r="D786" s="10" t="s">
        <v>393</v>
      </c>
      <c r="E786" s="25" t="s">
        <v>274</v>
      </c>
      <c r="F786" s="6">
        <f>106591+2973+2124-443+2134</f>
        <v>113379</v>
      </c>
      <c r="G786" s="6">
        <v>117518</v>
      </c>
      <c r="H786" s="6">
        <v>116493</v>
      </c>
      <c r="I786" s="152">
        <f t="shared" si="78"/>
        <v>99.12779318912848</v>
      </c>
    </row>
    <row r="787" spans="1:9" ht="12" customHeight="1">
      <c r="A787" s="58"/>
      <c r="B787" s="54"/>
      <c r="C787" s="54"/>
      <c r="D787" s="11"/>
      <c r="E787" s="22"/>
      <c r="F787" s="6"/>
      <c r="G787" s="6"/>
      <c r="H787" s="6"/>
      <c r="I787" s="152"/>
    </row>
    <row r="788" spans="1:9" ht="16.5" customHeight="1">
      <c r="A788" s="27" t="s">
        <v>394</v>
      </c>
      <c r="B788" s="28" t="s">
        <v>203</v>
      </c>
      <c r="C788" s="28" t="s">
        <v>197</v>
      </c>
      <c r="D788" s="35"/>
      <c r="E788" s="36"/>
      <c r="F788" s="7">
        <f>F800+F827+F835+F789+F793+F797+F824</f>
        <v>167612</v>
      </c>
      <c r="G788" s="7">
        <f>G800+G827+G835+G789+G793+G797+G824</f>
        <v>597544</v>
      </c>
      <c r="H788" s="7">
        <f>H800+H827+H835+H789+H793+H797+H824</f>
        <v>581698</v>
      </c>
      <c r="I788" s="154">
        <f t="shared" si="78"/>
        <v>97.34814507383557</v>
      </c>
    </row>
    <row r="789" spans="1:9" ht="15.75">
      <c r="A789" s="15" t="s">
        <v>187</v>
      </c>
      <c r="B789" s="21" t="s">
        <v>203</v>
      </c>
      <c r="C789" s="21" t="s">
        <v>197</v>
      </c>
      <c r="D789" s="21" t="s">
        <v>256</v>
      </c>
      <c r="E789" s="22"/>
      <c r="F789" s="6">
        <f aca="true" t="shared" si="82" ref="F789:H791">F790</f>
        <v>0</v>
      </c>
      <c r="G789" s="6">
        <f t="shared" si="82"/>
        <v>2556</v>
      </c>
      <c r="H789" s="6">
        <f t="shared" si="82"/>
        <v>2556</v>
      </c>
      <c r="I789" s="152">
        <f t="shared" si="78"/>
        <v>100</v>
      </c>
    </row>
    <row r="790" spans="1:9" ht="15.75">
      <c r="A790" s="12" t="s">
        <v>257</v>
      </c>
      <c r="B790" s="21" t="s">
        <v>203</v>
      </c>
      <c r="C790" s="21" t="s">
        <v>197</v>
      </c>
      <c r="D790" s="21" t="s">
        <v>258</v>
      </c>
      <c r="E790" s="22"/>
      <c r="F790" s="6">
        <f t="shared" si="82"/>
        <v>0</v>
      </c>
      <c r="G790" s="6">
        <f t="shared" si="82"/>
        <v>2556</v>
      </c>
      <c r="H790" s="6">
        <f t="shared" si="82"/>
        <v>2556</v>
      </c>
      <c r="I790" s="152">
        <f t="shared" si="78"/>
        <v>100</v>
      </c>
    </row>
    <row r="791" spans="1:9" ht="15.75">
      <c r="A791" s="32" t="s">
        <v>434</v>
      </c>
      <c r="B791" s="21" t="s">
        <v>203</v>
      </c>
      <c r="C791" s="21" t="s">
        <v>197</v>
      </c>
      <c r="D791" s="21" t="s">
        <v>259</v>
      </c>
      <c r="E791" s="22"/>
      <c r="F791" s="6">
        <f t="shared" si="82"/>
        <v>0</v>
      </c>
      <c r="G791" s="6">
        <f t="shared" si="82"/>
        <v>2556</v>
      </c>
      <c r="H791" s="6">
        <f t="shared" si="82"/>
        <v>2556</v>
      </c>
      <c r="I791" s="152">
        <f t="shared" si="78"/>
        <v>100</v>
      </c>
    </row>
    <row r="792" spans="1:9" ht="15.75">
      <c r="A792" s="15" t="s">
        <v>284</v>
      </c>
      <c r="B792" s="21" t="s">
        <v>203</v>
      </c>
      <c r="C792" s="21" t="s">
        <v>197</v>
      </c>
      <c r="D792" s="21" t="s">
        <v>260</v>
      </c>
      <c r="E792" s="19" t="s">
        <v>180</v>
      </c>
      <c r="F792" s="6">
        <v>0</v>
      </c>
      <c r="G792" s="6">
        <v>2556</v>
      </c>
      <c r="H792" s="6">
        <v>2556</v>
      </c>
      <c r="I792" s="152">
        <f t="shared" si="78"/>
        <v>100</v>
      </c>
    </row>
    <row r="793" spans="1:9" ht="15.75">
      <c r="A793" s="15" t="s">
        <v>125</v>
      </c>
      <c r="B793" s="17" t="s">
        <v>203</v>
      </c>
      <c r="C793" s="17" t="s">
        <v>197</v>
      </c>
      <c r="D793" s="17" t="s">
        <v>120</v>
      </c>
      <c r="E793" s="19"/>
      <c r="F793" s="6">
        <f aca="true" t="shared" si="83" ref="F793:H795">F794</f>
        <v>0</v>
      </c>
      <c r="G793" s="6">
        <f t="shared" si="83"/>
        <v>5720</v>
      </c>
      <c r="H793" s="6">
        <f t="shared" si="83"/>
        <v>715</v>
      </c>
      <c r="I793" s="152">
        <f t="shared" si="78"/>
        <v>12.5</v>
      </c>
    </row>
    <row r="794" spans="1:9" ht="15.75">
      <c r="A794" s="26" t="s">
        <v>126</v>
      </c>
      <c r="B794" s="17" t="s">
        <v>203</v>
      </c>
      <c r="C794" s="17" t="s">
        <v>197</v>
      </c>
      <c r="D794" s="17" t="s">
        <v>121</v>
      </c>
      <c r="E794" s="19"/>
      <c r="F794" s="6">
        <f t="shared" si="83"/>
        <v>0</v>
      </c>
      <c r="G794" s="6">
        <f t="shared" si="83"/>
        <v>5720</v>
      </c>
      <c r="H794" s="6">
        <f t="shared" si="83"/>
        <v>715</v>
      </c>
      <c r="I794" s="152">
        <f t="shared" si="78"/>
        <v>12.5</v>
      </c>
    </row>
    <row r="795" spans="1:9" ht="15.75">
      <c r="A795" s="26" t="s">
        <v>127</v>
      </c>
      <c r="B795" s="17" t="s">
        <v>203</v>
      </c>
      <c r="C795" s="17" t="s">
        <v>197</v>
      </c>
      <c r="D795" s="17" t="s">
        <v>122</v>
      </c>
      <c r="E795" s="19"/>
      <c r="F795" s="6">
        <f t="shared" si="83"/>
        <v>0</v>
      </c>
      <c r="G795" s="6">
        <f t="shared" si="83"/>
        <v>5720</v>
      </c>
      <c r="H795" s="6">
        <f t="shared" si="83"/>
        <v>715</v>
      </c>
      <c r="I795" s="152">
        <f t="shared" si="78"/>
        <v>12.5</v>
      </c>
    </row>
    <row r="796" spans="1:9" ht="15.75">
      <c r="A796" s="26" t="s">
        <v>400</v>
      </c>
      <c r="B796" s="17" t="s">
        <v>203</v>
      </c>
      <c r="C796" s="17" t="s">
        <v>197</v>
      </c>
      <c r="D796" s="17" t="s">
        <v>122</v>
      </c>
      <c r="E796" s="19" t="s">
        <v>401</v>
      </c>
      <c r="F796" s="6">
        <v>0</v>
      </c>
      <c r="G796" s="6">
        <v>5720</v>
      </c>
      <c r="H796" s="6">
        <v>715</v>
      </c>
      <c r="I796" s="152">
        <f t="shared" si="78"/>
        <v>12.5</v>
      </c>
    </row>
    <row r="797" spans="1:9" ht="15.75">
      <c r="A797" s="26" t="s">
        <v>128</v>
      </c>
      <c r="B797" s="23" t="s">
        <v>203</v>
      </c>
      <c r="C797" s="23" t="s">
        <v>197</v>
      </c>
      <c r="D797" s="44" t="s">
        <v>123</v>
      </c>
      <c r="E797" s="16"/>
      <c r="F797" s="6">
        <f aca="true" t="shared" si="84" ref="F797:H798">F798</f>
        <v>0</v>
      </c>
      <c r="G797" s="6">
        <f t="shared" si="84"/>
        <v>2763</v>
      </c>
      <c r="H797" s="6">
        <f t="shared" si="84"/>
        <v>2763</v>
      </c>
      <c r="I797" s="152">
        <f t="shared" si="78"/>
        <v>100</v>
      </c>
    </row>
    <row r="798" spans="1:9" ht="15.75">
      <c r="A798" s="26" t="s">
        <v>127</v>
      </c>
      <c r="B798" s="23" t="s">
        <v>203</v>
      </c>
      <c r="C798" s="23" t="s">
        <v>197</v>
      </c>
      <c r="D798" s="44" t="s">
        <v>124</v>
      </c>
      <c r="E798" s="16"/>
      <c r="F798" s="6">
        <f t="shared" si="84"/>
        <v>0</v>
      </c>
      <c r="G798" s="6">
        <f t="shared" si="84"/>
        <v>2763</v>
      </c>
      <c r="H798" s="6">
        <f t="shared" si="84"/>
        <v>2763</v>
      </c>
      <c r="I798" s="152">
        <f t="shared" si="78"/>
        <v>100</v>
      </c>
    </row>
    <row r="799" spans="1:9" ht="15.75">
      <c r="A799" s="26" t="s">
        <v>400</v>
      </c>
      <c r="B799" s="23" t="s">
        <v>203</v>
      </c>
      <c r="C799" s="23" t="s">
        <v>197</v>
      </c>
      <c r="D799" s="44" t="s">
        <v>124</v>
      </c>
      <c r="E799" s="16" t="s">
        <v>401</v>
      </c>
      <c r="F799" s="6">
        <v>0</v>
      </c>
      <c r="G799" s="6">
        <v>2763</v>
      </c>
      <c r="H799" s="6">
        <v>2763</v>
      </c>
      <c r="I799" s="152">
        <f t="shared" si="78"/>
        <v>100</v>
      </c>
    </row>
    <row r="800" spans="1:9" ht="15.75">
      <c r="A800" s="15" t="s">
        <v>298</v>
      </c>
      <c r="B800" s="34" t="s">
        <v>203</v>
      </c>
      <c r="C800" s="34" t="s">
        <v>197</v>
      </c>
      <c r="D800" s="10" t="s">
        <v>299</v>
      </c>
      <c r="E800" s="25"/>
      <c r="F800" s="6">
        <f>F801+F807+F809+F812+F815+F818+F804+F820+F822</f>
        <v>147739</v>
      </c>
      <c r="G800" s="6">
        <f>G801+G807+G809+G812+G815+G818+G804+G820+G822</f>
        <v>395562</v>
      </c>
      <c r="H800" s="6">
        <f>H801+H807+H809+H812+H815+H818+H804+H820+H822</f>
        <v>392495</v>
      </c>
      <c r="I800" s="152">
        <f t="shared" si="78"/>
        <v>99.22464746360873</v>
      </c>
    </row>
    <row r="801" spans="1:9" ht="49.5" customHeight="1" hidden="1">
      <c r="A801" s="45" t="s">
        <v>413</v>
      </c>
      <c r="B801" s="23" t="s">
        <v>203</v>
      </c>
      <c r="C801" s="23" t="s">
        <v>197</v>
      </c>
      <c r="D801" s="44" t="s">
        <v>395</v>
      </c>
      <c r="E801" s="16"/>
      <c r="F801" s="112">
        <f aca="true" t="shared" si="85" ref="F801:H802">F802</f>
        <v>9070</v>
      </c>
      <c r="G801" s="112">
        <f t="shared" si="85"/>
        <v>0</v>
      </c>
      <c r="H801" s="112">
        <f t="shared" si="85"/>
        <v>0</v>
      </c>
      <c r="I801" s="152">
        <v>0</v>
      </c>
    </row>
    <row r="802" spans="1:9" ht="66" customHeight="1" hidden="1">
      <c r="A802" s="45" t="s">
        <v>171</v>
      </c>
      <c r="B802" s="23" t="s">
        <v>203</v>
      </c>
      <c r="C802" s="23" t="s">
        <v>197</v>
      </c>
      <c r="D802" s="44" t="s">
        <v>172</v>
      </c>
      <c r="E802" s="16"/>
      <c r="F802" s="112">
        <f t="shared" si="85"/>
        <v>9070</v>
      </c>
      <c r="G802" s="112">
        <f t="shared" si="85"/>
        <v>0</v>
      </c>
      <c r="H802" s="112">
        <f t="shared" si="85"/>
        <v>0</v>
      </c>
      <c r="I802" s="152">
        <v>0</v>
      </c>
    </row>
    <row r="803" spans="1:9" ht="15.75" hidden="1">
      <c r="A803" s="26" t="s">
        <v>284</v>
      </c>
      <c r="B803" s="23" t="s">
        <v>203</v>
      </c>
      <c r="C803" s="23" t="s">
        <v>197</v>
      </c>
      <c r="D803" s="44" t="s">
        <v>172</v>
      </c>
      <c r="E803" s="16" t="s">
        <v>180</v>
      </c>
      <c r="F803" s="112">
        <f>9070</f>
        <v>9070</v>
      </c>
      <c r="G803" s="112">
        <v>0</v>
      </c>
      <c r="H803" s="112">
        <v>0</v>
      </c>
      <c r="I803" s="152">
        <v>0</v>
      </c>
    </row>
    <row r="804" spans="1:9" ht="78.75">
      <c r="A804" s="26" t="s">
        <v>646</v>
      </c>
      <c r="B804" s="23" t="s">
        <v>203</v>
      </c>
      <c r="C804" s="23" t="s">
        <v>197</v>
      </c>
      <c r="D804" s="44" t="s">
        <v>648</v>
      </c>
      <c r="E804" s="16"/>
      <c r="F804" s="112">
        <f aca="true" t="shared" si="86" ref="F804:H805">F805</f>
        <v>2157</v>
      </c>
      <c r="G804" s="112">
        <f t="shared" si="86"/>
        <v>2157</v>
      </c>
      <c r="H804" s="112">
        <f t="shared" si="86"/>
        <v>2157</v>
      </c>
      <c r="I804" s="152">
        <f aca="true" t="shared" si="87" ref="I804:I863">H804/G804*100</f>
        <v>100</v>
      </c>
    </row>
    <row r="805" spans="1:9" ht="47.25">
      <c r="A805" s="26" t="s">
        <v>647</v>
      </c>
      <c r="B805" s="23" t="s">
        <v>203</v>
      </c>
      <c r="C805" s="23" t="s">
        <v>197</v>
      </c>
      <c r="D805" s="44" t="s">
        <v>649</v>
      </c>
      <c r="E805" s="16"/>
      <c r="F805" s="112">
        <f t="shared" si="86"/>
        <v>2157</v>
      </c>
      <c r="G805" s="112">
        <f t="shared" si="86"/>
        <v>2157</v>
      </c>
      <c r="H805" s="112">
        <f t="shared" si="86"/>
        <v>2157</v>
      </c>
      <c r="I805" s="152">
        <f t="shared" si="87"/>
        <v>100</v>
      </c>
    </row>
    <row r="806" spans="1:9" ht="15.75">
      <c r="A806" s="26" t="s">
        <v>284</v>
      </c>
      <c r="B806" s="23" t="s">
        <v>203</v>
      </c>
      <c r="C806" s="23" t="s">
        <v>197</v>
      </c>
      <c r="D806" s="44" t="s">
        <v>649</v>
      </c>
      <c r="E806" s="16" t="s">
        <v>180</v>
      </c>
      <c r="F806" s="112">
        <f>2157</f>
        <v>2157</v>
      </c>
      <c r="G806" s="112">
        <f>2157</f>
        <v>2157</v>
      </c>
      <c r="H806" s="112">
        <f>2157</f>
        <v>2157</v>
      </c>
      <c r="I806" s="152">
        <f t="shared" si="87"/>
        <v>100</v>
      </c>
    </row>
    <row r="807" spans="1:9" ht="31.5">
      <c r="A807" s="26" t="s">
        <v>437</v>
      </c>
      <c r="B807" s="23" t="s">
        <v>203</v>
      </c>
      <c r="C807" s="23" t="s">
        <v>197</v>
      </c>
      <c r="D807" s="44" t="s">
        <v>438</v>
      </c>
      <c r="E807" s="16"/>
      <c r="F807" s="112">
        <f>F808</f>
        <v>117572</v>
      </c>
      <c r="G807" s="112">
        <f>G808</f>
        <v>374240</v>
      </c>
      <c r="H807" s="112">
        <f>H808</f>
        <v>373289</v>
      </c>
      <c r="I807" s="152">
        <f t="shared" si="87"/>
        <v>99.74588499358701</v>
      </c>
    </row>
    <row r="808" spans="1:9" ht="15.75">
      <c r="A808" s="26" t="s">
        <v>284</v>
      </c>
      <c r="B808" s="23" t="s">
        <v>203</v>
      </c>
      <c r="C808" s="23" t="s">
        <v>197</v>
      </c>
      <c r="D808" s="44" t="s">
        <v>438</v>
      </c>
      <c r="E808" s="16" t="s">
        <v>180</v>
      </c>
      <c r="F808" s="112">
        <f>117572</f>
        <v>117572</v>
      </c>
      <c r="G808" s="112">
        <v>374240</v>
      </c>
      <c r="H808" s="112">
        <v>373289</v>
      </c>
      <c r="I808" s="152">
        <f t="shared" si="87"/>
        <v>99.74588499358701</v>
      </c>
    </row>
    <row r="809" spans="1:9" ht="32.25" customHeight="1">
      <c r="A809" s="12" t="s">
        <v>396</v>
      </c>
      <c r="B809" s="34" t="s">
        <v>203</v>
      </c>
      <c r="C809" s="34" t="s">
        <v>197</v>
      </c>
      <c r="D809" s="10" t="s">
        <v>409</v>
      </c>
      <c r="E809" s="25"/>
      <c r="F809" s="6">
        <f aca="true" t="shared" si="88" ref="F809:H810">F810</f>
        <v>1180</v>
      </c>
      <c r="G809" s="6">
        <f t="shared" si="88"/>
        <v>1180</v>
      </c>
      <c r="H809" s="6">
        <f t="shared" si="88"/>
        <v>846</v>
      </c>
      <c r="I809" s="152">
        <f t="shared" si="87"/>
        <v>71.69491525423729</v>
      </c>
    </row>
    <row r="810" spans="1:9" ht="31.5">
      <c r="A810" s="12" t="s">
        <v>447</v>
      </c>
      <c r="B810" s="34" t="s">
        <v>203</v>
      </c>
      <c r="C810" s="34" t="s">
        <v>197</v>
      </c>
      <c r="D810" s="10" t="s">
        <v>410</v>
      </c>
      <c r="E810" s="25"/>
      <c r="F810" s="6">
        <f t="shared" si="88"/>
        <v>1180</v>
      </c>
      <c r="G810" s="6">
        <f t="shared" si="88"/>
        <v>1180</v>
      </c>
      <c r="H810" s="6">
        <f t="shared" si="88"/>
        <v>846</v>
      </c>
      <c r="I810" s="152">
        <f t="shared" si="87"/>
        <v>71.69491525423729</v>
      </c>
    </row>
    <row r="811" spans="1:9" ht="15.75">
      <c r="A811" s="15" t="s">
        <v>284</v>
      </c>
      <c r="B811" s="34" t="s">
        <v>203</v>
      </c>
      <c r="C811" s="34" t="s">
        <v>197</v>
      </c>
      <c r="D811" s="10" t="s">
        <v>410</v>
      </c>
      <c r="E811" s="25" t="s">
        <v>180</v>
      </c>
      <c r="F811" s="6">
        <f>1180</f>
        <v>1180</v>
      </c>
      <c r="G811" s="6">
        <f>1180</f>
        <v>1180</v>
      </c>
      <c r="H811" s="6">
        <v>846</v>
      </c>
      <c r="I811" s="152">
        <f t="shared" si="87"/>
        <v>71.69491525423729</v>
      </c>
    </row>
    <row r="812" spans="1:9" ht="31.5">
      <c r="A812" s="15" t="s">
        <v>399</v>
      </c>
      <c r="B812" s="34" t="s">
        <v>203</v>
      </c>
      <c r="C812" s="34" t="s">
        <v>197</v>
      </c>
      <c r="D812" s="10" t="s">
        <v>411</v>
      </c>
      <c r="E812" s="25"/>
      <c r="F812" s="6">
        <f aca="true" t="shared" si="89" ref="F812:H813">F813</f>
        <v>200</v>
      </c>
      <c r="G812" s="6">
        <f t="shared" si="89"/>
        <v>200</v>
      </c>
      <c r="H812" s="6">
        <f t="shared" si="89"/>
        <v>190</v>
      </c>
      <c r="I812" s="152">
        <f t="shared" si="87"/>
        <v>95</v>
      </c>
    </row>
    <row r="813" spans="1:9" ht="31.5">
      <c r="A813" s="15" t="s">
        <v>429</v>
      </c>
      <c r="B813" s="34" t="s">
        <v>203</v>
      </c>
      <c r="C813" s="34" t="s">
        <v>197</v>
      </c>
      <c r="D813" s="10" t="s">
        <v>412</v>
      </c>
      <c r="E813" s="25"/>
      <c r="F813" s="6">
        <f t="shared" si="89"/>
        <v>200</v>
      </c>
      <c r="G813" s="6">
        <f t="shared" si="89"/>
        <v>200</v>
      </c>
      <c r="H813" s="6">
        <f t="shared" si="89"/>
        <v>190</v>
      </c>
      <c r="I813" s="152">
        <f t="shared" si="87"/>
        <v>95</v>
      </c>
    </row>
    <row r="814" spans="1:9" ht="15.75">
      <c r="A814" s="15" t="s">
        <v>284</v>
      </c>
      <c r="B814" s="34" t="s">
        <v>203</v>
      </c>
      <c r="C814" s="34" t="s">
        <v>197</v>
      </c>
      <c r="D814" s="10" t="s">
        <v>412</v>
      </c>
      <c r="E814" s="25" t="s">
        <v>180</v>
      </c>
      <c r="F814" s="6">
        <f>600-400</f>
        <v>200</v>
      </c>
      <c r="G814" s="6">
        <f>600-400</f>
        <v>200</v>
      </c>
      <c r="H814" s="6">
        <v>190</v>
      </c>
      <c r="I814" s="152">
        <f t="shared" si="87"/>
        <v>95</v>
      </c>
    </row>
    <row r="815" spans="1:9" ht="47.25">
      <c r="A815" s="26" t="s">
        <v>527</v>
      </c>
      <c r="B815" s="34" t="s">
        <v>203</v>
      </c>
      <c r="C815" s="34" t="s">
        <v>197</v>
      </c>
      <c r="D815" s="10" t="s">
        <v>519</v>
      </c>
      <c r="E815" s="25"/>
      <c r="F815" s="6">
        <f aca="true" t="shared" si="90" ref="F815:H816">F816</f>
        <v>1158</v>
      </c>
      <c r="G815" s="6">
        <f t="shared" si="90"/>
        <v>1158</v>
      </c>
      <c r="H815" s="6">
        <f t="shared" si="90"/>
        <v>1158</v>
      </c>
      <c r="I815" s="152">
        <f t="shared" si="87"/>
        <v>100</v>
      </c>
    </row>
    <row r="816" spans="1:9" ht="31.5">
      <c r="A816" s="26" t="s">
        <v>526</v>
      </c>
      <c r="B816" s="34" t="s">
        <v>203</v>
      </c>
      <c r="C816" s="34" t="s">
        <v>197</v>
      </c>
      <c r="D816" s="10" t="s">
        <v>520</v>
      </c>
      <c r="E816" s="25"/>
      <c r="F816" s="6">
        <f t="shared" si="90"/>
        <v>1158</v>
      </c>
      <c r="G816" s="6">
        <f t="shared" si="90"/>
        <v>1158</v>
      </c>
      <c r="H816" s="6">
        <f t="shared" si="90"/>
        <v>1158</v>
      </c>
      <c r="I816" s="152">
        <f t="shared" si="87"/>
        <v>100</v>
      </c>
    </row>
    <row r="817" spans="1:9" ht="15.75">
      <c r="A817" s="15" t="s">
        <v>284</v>
      </c>
      <c r="B817" s="34" t="s">
        <v>203</v>
      </c>
      <c r="C817" s="34" t="s">
        <v>197</v>
      </c>
      <c r="D817" s="10" t="s">
        <v>520</v>
      </c>
      <c r="E817" s="25" t="s">
        <v>180</v>
      </c>
      <c r="F817" s="6">
        <f>1158</f>
        <v>1158</v>
      </c>
      <c r="G817" s="6">
        <f>1158</f>
        <v>1158</v>
      </c>
      <c r="H817" s="6">
        <f>1158</f>
        <v>1158</v>
      </c>
      <c r="I817" s="152">
        <f t="shared" si="87"/>
        <v>100</v>
      </c>
    </row>
    <row r="818" spans="1:9" ht="49.5" customHeight="1">
      <c r="A818" s="26" t="s">
        <v>525</v>
      </c>
      <c r="B818" s="34" t="s">
        <v>522</v>
      </c>
      <c r="C818" s="34" t="s">
        <v>197</v>
      </c>
      <c r="D818" s="10" t="s">
        <v>521</v>
      </c>
      <c r="E818" s="25"/>
      <c r="F818" s="6">
        <f>F819</f>
        <v>12246</v>
      </c>
      <c r="G818" s="6">
        <f>G819</f>
        <v>12246</v>
      </c>
      <c r="H818" s="6">
        <f>H819</f>
        <v>10515</v>
      </c>
      <c r="I818" s="152">
        <f t="shared" si="87"/>
        <v>85.86477217050465</v>
      </c>
    </row>
    <row r="819" spans="1:9" ht="15.75">
      <c r="A819" s="15" t="s">
        <v>284</v>
      </c>
      <c r="B819" s="34" t="s">
        <v>203</v>
      </c>
      <c r="C819" s="34" t="s">
        <v>197</v>
      </c>
      <c r="D819" s="10" t="s">
        <v>521</v>
      </c>
      <c r="E819" s="25" t="s">
        <v>180</v>
      </c>
      <c r="F819" s="6">
        <f>12246</f>
        <v>12246</v>
      </c>
      <c r="G819" s="6">
        <f>12246</f>
        <v>12246</v>
      </c>
      <c r="H819" s="6">
        <v>10515</v>
      </c>
      <c r="I819" s="152">
        <f t="shared" si="87"/>
        <v>85.86477217050465</v>
      </c>
    </row>
    <row r="820" spans="1:9" ht="15.75">
      <c r="A820" s="15" t="s">
        <v>38</v>
      </c>
      <c r="B820" s="34" t="s">
        <v>522</v>
      </c>
      <c r="C820" s="34" t="s">
        <v>197</v>
      </c>
      <c r="D820" s="10" t="s">
        <v>39</v>
      </c>
      <c r="E820" s="25"/>
      <c r="F820" s="6">
        <f>F821</f>
        <v>206</v>
      </c>
      <c r="G820" s="6">
        <f>G821</f>
        <v>431</v>
      </c>
      <c r="H820" s="6">
        <f>H821</f>
        <v>430</v>
      </c>
      <c r="I820" s="152">
        <f t="shared" si="87"/>
        <v>99.76798143851508</v>
      </c>
    </row>
    <row r="821" spans="1:9" ht="15.75">
      <c r="A821" s="15" t="s">
        <v>284</v>
      </c>
      <c r="B821" s="34" t="s">
        <v>203</v>
      </c>
      <c r="C821" s="34" t="s">
        <v>197</v>
      </c>
      <c r="D821" s="10" t="s">
        <v>39</v>
      </c>
      <c r="E821" s="25" t="s">
        <v>180</v>
      </c>
      <c r="F821" s="6">
        <f>206</f>
        <v>206</v>
      </c>
      <c r="G821" s="6">
        <v>431</v>
      </c>
      <c r="H821" s="6">
        <v>430</v>
      </c>
      <c r="I821" s="152">
        <f t="shared" si="87"/>
        <v>99.76798143851508</v>
      </c>
    </row>
    <row r="822" spans="1:9" ht="47.25">
      <c r="A822" s="15" t="s">
        <v>40</v>
      </c>
      <c r="B822" s="34" t="s">
        <v>522</v>
      </c>
      <c r="C822" s="34" t="s">
        <v>197</v>
      </c>
      <c r="D822" s="10" t="s">
        <v>41</v>
      </c>
      <c r="E822" s="25"/>
      <c r="F822" s="6">
        <f>F823</f>
        <v>3950</v>
      </c>
      <c r="G822" s="6">
        <f>G823</f>
        <v>3950</v>
      </c>
      <c r="H822" s="6">
        <f>H823</f>
        <v>3910</v>
      </c>
      <c r="I822" s="152">
        <f t="shared" si="87"/>
        <v>98.9873417721519</v>
      </c>
    </row>
    <row r="823" spans="1:9" ht="15.75">
      <c r="A823" s="15" t="s">
        <v>284</v>
      </c>
      <c r="B823" s="34" t="s">
        <v>203</v>
      </c>
      <c r="C823" s="34" t="s">
        <v>197</v>
      </c>
      <c r="D823" s="10" t="s">
        <v>41</v>
      </c>
      <c r="E823" s="25" t="s">
        <v>180</v>
      </c>
      <c r="F823" s="6">
        <f>3950</f>
        <v>3950</v>
      </c>
      <c r="G823" s="6">
        <f>3950</f>
        <v>3950</v>
      </c>
      <c r="H823" s="6">
        <v>3910</v>
      </c>
      <c r="I823" s="152">
        <f t="shared" si="87"/>
        <v>98.9873417721519</v>
      </c>
    </row>
    <row r="824" spans="1:9" ht="15.75">
      <c r="A824" s="15" t="s">
        <v>63</v>
      </c>
      <c r="B824" s="34" t="s">
        <v>203</v>
      </c>
      <c r="C824" s="34" t="s">
        <v>197</v>
      </c>
      <c r="D824" s="10" t="s">
        <v>481</v>
      </c>
      <c r="E824" s="25"/>
      <c r="F824" s="6">
        <f aca="true" t="shared" si="91" ref="F824:H825">F825</f>
        <v>0</v>
      </c>
      <c r="G824" s="6">
        <f t="shared" si="91"/>
        <v>9478</v>
      </c>
      <c r="H824" s="6">
        <f t="shared" si="91"/>
        <v>5165</v>
      </c>
      <c r="I824" s="152">
        <f t="shared" si="87"/>
        <v>54.49461911795738</v>
      </c>
    </row>
    <row r="825" spans="1:9" ht="31.5">
      <c r="A825" s="45" t="s">
        <v>130</v>
      </c>
      <c r="B825" s="34" t="s">
        <v>203</v>
      </c>
      <c r="C825" s="34" t="s">
        <v>197</v>
      </c>
      <c r="D825" s="10" t="s">
        <v>129</v>
      </c>
      <c r="E825" s="25"/>
      <c r="F825" s="6">
        <f t="shared" si="91"/>
        <v>0</v>
      </c>
      <c r="G825" s="6">
        <f t="shared" si="91"/>
        <v>9478</v>
      </c>
      <c r="H825" s="6">
        <f t="shared" si="91"/>
        <v>5165</v>
      </c>
      <c r="I825" s="152">
        <f t="shared" si="87"/>
        <v>54.49461911795738</v>
      </c>
    </row>
    <row r="826" spans="1:9" ht="15.75">
      <c r="A826" s="15" t="s">
        <v>400</v>
      </c>
      <c r="B826" s="34" t="s">
        <v>203</v>
      </c>
      <c r="C826" s="34" t="s">
        <v>197</v>
      </c>
      <c r="D826" s="10" t="s">
        <v>129</v>
      </c>
      <c r="E826" s="25" t="s">
        <v>401</v>
      </c>
      <c r="F826" s="6">
        <v>0</v>
      </c>
      <c r="G826" s="6">
        <v>9478</v>
      </c>
      <c r="H826" s="6">
        <v>5165</v>
      </c>
      <c r="I826" s="152">
        <f t="shared" si="87"/>
        <v>54.49461911795738</v>
      </c>
    </row>
    <row r="827" spans="1:9" ht="15.75">
      <c r="A827" s="45" t="s">
        <v>250</v>
      </c>
      <c r="B827" s="23" t="s">
        <v>203</v>
      </c>
      <c r="C827" s="23" t="s">
        <v>197</v>
      </c>
      <c r="D827" s="44" t="s">
        <v>424</v>
      </c>
      <c r="E827" s="16"/>
      <c r="F827" s="112">
        <f>F828</f>
        <v>14658</v>
      </c>
      <c r="G827" s="112">
        <f>G828</f>
        <v>176250</v>
      </c>
      <c r="H827" s="112">
        <f>H828</f>
        <v>175847</v>
      </c>
      <c r="I827" s="152">
        <f t="shared" si="87"/>
        <v>99.77134751773049</v>
      </c>
    </row>
    <row r="828" spans="1:10" ht="47.25">
      <c r="A828" s="45" t="s">
        <v>328</v>
      </c>
      <c r="B828" s="23" t="s">
        <v>203</v>
      </c>
      <c r="C828" s="23" t="s">
        <v>197</v>
      </c>
      <c r="D828" s="44" t="s">
        <v>427</v>
      </c>
      <c r="E828" s="16"/>
      <c r="F828" s="112">
        <f>F829+F831+F833</f>
        <v>14658</v>
      </c>
      <c r="G828" s="112">
        <f>G829+G831+G833</f>
        <v>176250</v>
      </c>
      <c r="H828" s="112">
        <f>H829+H831+H833</f>
        <v>175847</v>
      </c>
      <c r="I828" s="152">
        <f t="shared" si="87"/>
        <v>99.77134751773049</v>
      </c>
      <c r="J828" s="120"/>
    </row>
    <row r="829" spans="1:9" ht="66" customHeight="1">
      <c r="A829" s="45" t="s">
        <v>488</v>
      </c>
      <c r="B829" s="23" t="s">
        <v>203</v>
      </c>
      <c r="C829" s="23" t="s">
        <v>197</v>
      </c>
      <c r="D829" s="44" t="s">
        <v>428</v>
      </c>
      <c r="E829" s="16"/>
      <c r="F829" s="112">
        <f>F830</f>
        <v>8</v>
      </c>
      <c r="G829" s="112">
        <f>G830</f>
        <v>8</v>
      </c>
      <c r="H829" s="112">
        <f>H830</f>
        <v>8</v>
      </c>
      <c r="I829" s="152">
        <f t="shared" si="87"/>
        <v>100</v>
      </c>
    </row>
    <row r="830" spans="1:9" ht="15.75">
      <c r="A830" s="26" t="s">
        <v>284</v>
      </c>
      <c r="B830" s="23" t="s">
        <v>203</v>
      </c>
      <c r="C830" s="23" t="s">
        <v>197</v>
      </c>
      <c r="D830" s="44" t="s">
        <v>428</v>
      </c>
      <c r="E830" s="16" t="s">
        <v>180</v>
      </c>
      <c r="F830" s="112">
        <f>8</f>
        <v>8</v>
      </c>
      <c r="G830" s="112">
        <f>8</f>
        <v>8</v>
      </c>
      <c r="H830" s="112">
        <f>8</f>
        <v>8</v>
      </c>
      <c r="I830" s="152">
        <f t="shared" si="87"/>
        <v>100</v>
      </c>
    </row>
    <row r="831" spans="1:9" ht="31.5">
      <c r="A831" s="45" t="s">
        <v>638</v>
      </c>
      <c r="B831" s="23" t="s">
        <v>203</v>
      </c>
      <c r="C831" s="23" t="s">
        <v>197</v>
      </c>
      <c r="D831" s="44" t="s">
        <v>480</v>
      </c>
      <c r="E831" s="16"/>
      <c r="F831" s="112">
        <f>F832</f>
        <v>14650</v>
      </c>
      <c r="G831" s="112">
        <f>G832</f>
        <v>16723</v>
      </c>
      <c r="H831" s="112">
        <f>H832</f>
        <v>16320</v>
      </c>
      <c r="I831" s="152">
        <f t="shared" si="87"/>
        <v>97.59014530885607</v>
      </c>
    </row>
    <row r="832" spans="1:9" ht="15.75">
      <c r="A832" s="26" t="s">
        <v>284</v>
      </c>
      <c r="B832" s="23" t="s">
        <v>203</v>
      </c>
      <c r="C832" s="23" t="s">
        <v>197</v>
      </c>
      <c r="D832" s="44" t="s">
        <v>480</v>
      </c>
      <c r="E832" s="16" t="s">
        <v>180</v>
      </c>
      <c r="F832" s="112">
        <f>14650</f>
        <v>14650</v>
      </c>
      <c r="G832" s="112">
        <v>16723</v>
      </c>
      <c r="H832" s="112">
        <v>16320</v>
      </c>
      <c r="I832" s="152">
        <f t="shared" si="87"/>
        <v>97.59014530885607</v>
      </c>
    </row>
    <row r="833" spans="1:9" ht="47.25">
      <c r="A833" s="15" t="s">
        <v>132</v>
      </c>
      <c r="B833" s="21" t="s">
        <v>203</v>
      </c>
      <c r="C833" s="21" t="s">
        <v>197</v>
      </c>
      <c r="D833" s="11" t="s">
        <v>131</v>
      </c>
      <c r="E833" s="22"/>
      <c r="F833" s="112">
        <f>F834</f>
        <v>0</v>
      </c>
      <c r="G833" s="112">
        <f>G834</f>
        <v>159519</v>
      </c>
      <c r="H833" s="112">
        <f>H834</f>
        <v>159519</v>
      </c>
      <c r="I833" s="152">
        <f t="shared" si="87"/>
        <v>100</v>
      </c>
    </row>
    <row r="834" spans="1:9" ht="15.75">
      <c r="A834" s="15" t="s">
        <v>284</v>
      </c>
      <c r="B834" s="21" t="s">
        <v>203</v>
      </c>
      <c r="C834" s="21" t="s">
        <v>197</v>
      </c>
      <c r="D834" s="11" t="s">
        <v>131</v>
      </c>
      <c r="E834" s="22" t="s">
        <v>180</v>
      </c>
      <c r="F834" s="112">
        <v>0</v>
      </c>
      <c r="G834" s="112">
        <v>159519</v>
      </c>
      <c r="H834" s="112">
        <v>159519</v>
      </c>
      <c r="I834" s="152">
        <f t="shared" si="87"/>
        <v>100</v>
      </c>
    </row>
    <row r="835" spans="1:9" ht="15.75">
      <c r="A835" s="9" t="s">
        <v>230</v>
      </c>
      <c r="B835" s="21" t="s">
        <v>203</v>
      </c>
      <c r="C835" s="21" t="s">
        <v>197</v>
      </c>
      <c r="D835" s="11" t="s">
        <v>286</v>
      </c>
      <c r="E835" s="22"/>
      <c r="F835" s="6">
        <f aca="true" t="shared" si="92" ref="F835:H836">F836</f>
        <v>5215</v>
      </c>
      <c r="G835" s="6">
        <f t="shared" si="92"/>
        <v>5215</v>
      </c>
      <c r="H835" s="6">
        <f t="shared" si="92"/>
        <v>2157</v>
      </c>
      <c r="I835" s="152">
        <f t="shared" si="87"/>
        <v>41.36145733461169</v>
      </c>
    </row>
    <row r="836" spans="1:9" ht="31.5">
      <c r="A836" s="9" t="s">
        <v>518</v>
      </c>
      <c r="B836" s="21" t="s">
        <v>203</v>
      </c>
      <c r="C836" s="21" t="s">
        <v>197</v>
      </c>
      <c r="D836" s="11" t="s">
        <v>402</v>
      </c>
      <c r="E836" s="22"/>
      <c r="F836" s="6">
        <f t="shared" si="92"/>
        <v>5215</v>
      </c>
      <c r="G836" s="6">
        <f t="shared" si="92"/>
        <v>5215</v>
      </c>
      <c r="H836" s="6">
        <f t="shared" si="92"/>
        <v>2157</v>
      </c>
      <c r="I836" s="152">
        <f t="shared" si="87"/>
        <v>41.36145733461169</v>
      </c>
    </row>
    <row r="837" spans="1:9" ht="15.75">
      <c r="A837" s="15" t="s">
        <v>400</v>
      </c>
      <c r="B837" s="21" t="s">
        <v>203</v>
      </c>
      <c r="C837" s="21" t="s">
        <v>197</v>
      </c>
      <c r="D837" s="11" t="s">
        <v>402</v>
      </c>
      <c r="E837" s="22" t="s">
        <v>401</v>
      </c>
      <c r="F837" s="6">
        <f>5215</f>
        <v>5215</v>
      </c>
      <c r="G837" s="6">
        <f>5215</f>
        <v>5215</v>
      </c>
      <c r="H837" s="6">
        <v>2157</v>
      </c>
      <c r="I837" s="152">
        <f t="shared" si="87"/>
        <v>41.36145733461169</v>
      </c>
    </row>
    <row r="838" spans="1:9" ht="12" customHeight="1">
      <c r="A838" s="26"/>
      <c r="B838" s="21"/>
      <c r="C838" s="21"/>
      <c r="D838" s="11"/>
      <c r="E838" s="22"/>
      <c r="F838" s="6"/>
      <c r="G838" s="6"/>
      <c r="H838" s="6"/>
      <c r="I838" s="152"/>
    </row>
    <row r="839" spans="1:9" ht="15.75">
      <c r="A839" s="57" t="s">
        <v>445</v>
      </c>
      <c r="B839" s="28" t="s">
        <v>203</v>
      </c>
      <c r="C839" s="28" t="s">
        <v>198</v>
      </c>
      <c r="D839" s="35"/>
      <c r="E839" s="36"/>
      <c r="F839" s="7">
        <f>F846+F840</f>
        <v>46646</v>
      </c>
      <c r="G839" s="7">
        <f>G846+G840</f>
        <v>80890</v>
      </c>
      <c r="H839" s="7">
        <f>H846+H840</f>
        <v>77045</v>
      </c>
      <c r="I839" s="154">
        <f t="shared" si="87"/>
        <v>95.24663122759303</v>
      </c>
    </row>
    <row r="840" spans="1:9" ht="15.75">
      <c r="A840" s="15" t="s">
        <v>298</v>
      </c>
      <c r="B840" s="34" t="s">
        <v>203</v>
      </c>
      <c r="C840" s="34" t="s">
        <v>198</v>
      </c>
      <c r="D840" s="10" t="s">
        <v>299</v>
      </c>
      <c r="E840" s="25"/>
      <c r="F840" s="6">
        <f>F841</f>
        <v>0</v>
      </c>
      <c r="G840" s="6">
        <f>G841</f>
        <v>34244</v>
      </c>
      <c r="H840" s="6">
        <f>H841</f>
        <v>34018</v>
      </c>
      <c r="I840" s="152">
        <f t="shared" si="87"/>
        <v>99.34003037028386</v>
      </c>
    </row>
    <row r="841" spans="1:9" ht="49.5" customHeight="1">
      <c r="A841" s="45" t="s">
        <v>413</v>
      </c>
      <c r="B841" s="23" t="s">
        <v>203</v>
      </c>
      <c r="C841" s="23" t="s">
        <v>198</v>
      </c>
      <c r="D841" s="44" t="s">
        <v>395</v>
      </c>
      <c r="E841" s="16"/>
      <c r="F841" s="6">
        <f>F842+F844</f>
        <v>0</v>
      </c>
      <c r="G841" s="6">
        <f>G842+G844</f>
        <v>34244</v>
      </c>
      <c r="H841" s="6">
        <f>H842+H844</f>
        <v>34018</v>
      </c>
      <c r="I841" s="152">
        <f t="shared" si="87"/>
        <v>99.34003037028386</v>
      </c>
    </row>
    <row r="842" spans="1:9" ht="63">
      <c r="A842" s="45" t="s">
        <v>171</v>
      </c>
      <c r="B842" s="23" t="s">
        <v>203</v>
      </c>
      <c r="C842" s="23" t="s">
        <v>198</v>
      </c>
      <c r="D842" s="44" t="s">
        <v>172</v>
      </c>
      <c r="E842" s="16"/>
      <c r="F842" s="6">
        <f>F843</f>
        <v>0</v>
      </c>
      <c r="G842" s="6">
        <f>G843</f>
        <v>32141</v>
      </c>
      <c r="H842" s="6">
        <f>H843</f>
        <v>31915</v>
      </c>
      <c r="I842" s="152">
        <f t="shared" si="87"/>
        <v>99.29684826234406</v>
      </c>
    </row>
    <row r="843" spans="1:9" ht="15.75">
      <c r="A843" s="26" t="s">
        <v>284</v>
      </c>
      <c r="B843" s="23" t="s">
        <v>203</v>
      </c>
      <c r="C843" s="23" t="s">
        <v>198</v>
      </c>
      <c r="D843" s="44" t="s">
        <v>172</v>
      </c>
      <c r="E843" s="16" t="s">
        <v>180</v>
      </c>
      <c r="F843" s="6">
        <v>0</v>
      </c>
      <c r="G843" s="6">
        <v>32141</v>
      </c>
      <c r="H843" s="6">
        <v>31915</v>
      </c>
      <c r="I843" s="152">
        <f t="shared" si="87"/>
        <v>99.29684826234406</v>
      </c>
    </row>
    <row r="844" spans="1:9" ht="66" customHeight="1">
      <c r="A844" s="12" t="s">
        <v>134</v>
      </c>
      <c r="B844" s="23" t="s">
        <v>203</v>
      </c>
      <c r="C844" s="23" t="s">
        <v>198</v>
      </c>
      <c r="D844" s="44" t="s">
        <v>133</v>
      </c>
      <c r="E844" s="16"/>
      <c r="F844" s="6">
        <f>F845</f>
        <v>0</v>
      </c>
      <c r="G844" s="6">
        <f>G845</f>
        <v>2103</v>
      </c>
      <c r="H844" s="6">
        <f>H845</f>
        <v>2103</v>
      </c>
      <c r="I844" s="152">
        <f t="shared" si="87"/>
        <v>100</v>
      </c>
    </row>
    <row r="845" spans="1:9" ht="15.75">
      <c r="A845" s="15" t="s">
        <v>284</v>
      </c>
      <c r="B845" s="23" t="s">
        <v>203</v>
      </c>
      <c r="C845" s="23" t="s">
        <v>198</v>
      </c>
      <c r="D845" s="44" t="s">
        <v>133</v>
      </c>
      <c r="E845" s="16" t="s">
        <v>180</v>
      </c>
      <c r="F845" s="6">
        <v>0</v>
      </c>
      <c r="G845" s="6">
        <v>2103</v>
      </c>
      <c r="H845" s="6">
        <v>2103</v>
      </c>
      <c r="I845" s="152">
        <f t="shared" si="87"/>
        <v>100</v>
      </c>
    </row>
    <row r="846" spans="1:9" ht="15.75">
      <c r="A846" s="20" t="s">
        <v>431</v>
      </c>
      <c r="B846" s="17" t="s">
        <v>203</v>
      </c>
      <c r="C846" s="17" t="s">
        <v>198</v>
      </c>
      <c r="D846" s="18" t="s">
        <v>432</v>
      </c>
      <c r="E846" s="19"/>
      <c r="F846" s="112">
        <f aca="true" t="shared" si="93" ref="F846:H848">F847</f>
        <v>46646</v>
      </c>
      <c r="G846" s="112">
        <f t="shared" si="93"/>
        <v>46646</v>
      </c>
      <c r="H846" s="112">
        <f t="shared" si="93"/>
        <v>43027</v>
      </c>
      <c r="I846" s="152">
        <f t="shared" si="87"/>
        <v>92.24156412125369</v>
      </c>
    </row>
    <row r="847" spans="1:9" ht="63">
      <c r="A847" s="70" t="s">
        <v>444</v>
      </c>
      <c r="B847" s="17" t="s">
        <v>203</v>
      </c>
      <c r="C847" s="17" t="s">
        <v>198</v>
      </c>
      <c r="D847" s="18" t="s">
        <v>446</v>
      </c>
      <c r="E847" s="19"/>
      <c r="F847" s="112">
        <f t="shared" si="93"/>
        <v>46646</v>
      </c>
      <c r="G847" s="112">
        <f t="shared" si="93"/>
        <v>46646</v>
      </c>
      <c r="H847" s="112">
        <f t="shared" si="93"/>
        <v>43027</v>
      </c>
      <c r="I847" s="152">
        <f t="shared" si="87"/>
        <v>92.24156412125369</v>
      </c>
    </row>
    <row r="848" spans="1:9" ht="63">
      <c r="A848" s="70" t="s">
        <v>489</v>
      </c>
      <c r="B848" s="17" t="s">
        <v>203</v>
      </c>
      <c r="C848" s="17" t="s">
        <v>198</v>
      </c>
      <c r="D848" s="18" t="s">
        <v>490</v>
      </c>
      <c r="E848" s="19"/>
      <c r="F848" s="112">
        <f t="shared" si="93"/>
        <v>46646</v>
      </c>
      <c r="G848" s="112">
        <f t="shared" si="93"/>
        <v>46646</v>
      </c>
      <c r="H848" s="112">
        <f t="shared" si="93"/>
        <v>43027</v>
      </c>
      <c r="I848" s="152">
        <f t="shared" si="87"/>
        <v>92.24156412125369</v>
      </c>
    </row>
    <row r="849" spans="1:9" ht="15.75">
      <c r="A849" s="26" t="s">
        <v>284</v>
      </c>
      <c r="B849" s="17" t="s">
        <v>203</v>
      </c>
      <c r="C849" s="17" t="s">
        <v>198</v>
      </c>
      <c r="D849" s="18" t="s">
        <v>490</v>
      </c>
      <c r="E849" s="19" t="s">
        <v>180</v>
      </c>
      <c r="F849" s="112">
        <f>46646</f>
        <v>46646</v>
      </c>
      <c r="G849" s="112">
        <f>46646</f>
        <v>46646</v>
      </c>
      <c r="H849" s="112">
        <v>43027</v>
      </c>
      <c r="I849" s="152">
        <f t="shared" si="87"/>
        <v>92.24156412125369</v>
      </c>
    </row>
    <row r="850" spans="1:9" ht="12" customHeight="1">
      <c r="A850" s="12"/>
      <c r="B850" s="21"/>
      <c r="C850" s="21"/>
      <c r="D850" s="11"/>
      <c r="E850" s="22"/>
      <c r="F850" s="6"/>
      <c r="G850" s="6"/>
      <c r="H850" s="6"/>
      <c r="I850" s="152"/>
    </row>
    <row r="851" spans="1:9" ht="15.75">
      <c r="A851" s="27" t="s">
        <v>403</v>
      </c>
      <c r="B851" s="28" t="s">
        <v>203</v>
      </c>
      <c r="C851" s="28" t="s">
        <v>199</v>
      </c>
      <c r="D851" s="35"/>
      <c r="E851" s="36"/>
      <c r="F851" s="7">
        <f>F856+F864+F861+F852</f>
        <v>7971</v>
      </c>
      <c r="G851" s="7">
        <f>G856+G864+G861+G852</f>
        <v>12257</v>
      </c>
      <c r="H851" s="7">
        <f>H856+H864+H861+H852</f>
        <v>11957</v>
      </c>
      <c r="I851" s="154">
        <f t="shared" si="87"/>
        <v>97.55241902586278</v>
      </c>
    </row>
    <row r="852" spans="1:9" ht="15.75">
      <c r="A852" s="15" t="s">
        <v>187</v>
      </c>
      <c r="B852" s="21" t="s">
        <v>203</v>
      </c>
      <c r="C852" s="21" t="s">
        <v>199</v>
      </c>
      <c r="D852" s="21" t="s">
        <v>256</v>
      </c>
      <c r="E852" s="22"/>
      <c r="F852" s="6">
        <f aca="true" t="shared" si="94" ref="F852:H854">F853</f>
        <v>0</v>
      </c>
      <c r="G852" s="6">
        <f t="shared" si="94"/>
        <v>4288</v>
      </c>
      <c r="H852" s="6">
        <f t="shared" si="94"/>
        <v>4266</v>
      </c>
      <c r="I852" s="152">
        <f t="shared" si="87"/>
        <v>99.48694029850746</v>
      </c>
    </row>
    <row r="853" spans="1:9" ht="15.75">
      <c r="A853" s="12" t="s">
        <v>257</v>
      </c>
      <c r="B853" s="21" t="s">
        <v>203</v>
      </c>
      <c r="C853" s="21" t="s">
        <v>199</v>
      </c>
      <c r="D853" s="21" t="s">
        <v>258</v>
      </c>
      <c r="E853" s="22"/>
      <c r="F853" s="6">
        <f t="shared" si="94"/>
        <v>0</v>
      </c>
      <c r="G853" s="6">
        <f t="shared" si="94"/>
        <v>4288</v>
      </c>
      <c r="H853" s="6">
        <f t="shared" si="94"/>
        <v>4266</v>
      </c>
      <c r="I853" s="152">
        <f t="shared" si="87"/>
        <v>99.48694029850746</v>
      </c>
    </row>
    <row r="854" spans="1:9" ht="15.75">
      <c r="A854" s="32" t="s">
        <v>434</v>
      </c>
      <c r="B854" s="21" t="s">
        <v>203</v>
      </c>
      <c r="C854" s="21" t="s">
        <v>199</v>
      </c>
      <c r="D854" s="21" t="s">
        <v>259</v>
      </c>
      <c r="E854" s="22"/>
      <c r="F854" s="6">
        <f t="shared" si="94"/>
        <v>0</v>
      </c>
      <c r="G854" s="6">
        <f t="shared" si="94"/>
        <v>4288</v>
      </c>
      <c r="H854" s="6">
        <f t="shared" si="94"/>
        <v>4266</v>
      </c>
      <c r="I854" s="152">
        <f t="shared" si="87"/>
        <v>99.48694029850746</v>
      </c>
    </row>
    <row r="855" spans="1:9" ht="15.75">
      <c r="A855" s="20" t="s">
        <v>243</v>
      </c>
      <c r="B855" s="21" t="s">
        <v>203</v>
      </c>
      <c r="C855" s="21" t="s">
        <v>199</v>
      </c>
      <c r="D855" s="21" t="s">
        <v>260</v>
      </c>
      <c r="E855" s="19" t="s">
        <v>244</v>
      </c>
      <c r="F855" s="6">
        <v>0</v>
      </c>
      <c r="G855" s="6">
        <v>4288</v>
      </c>
      <c r="H855" s="6">
        <v>4266</v>
      </c>
      <c r="I855" s="152">
        <f t="shared" si="87"/>
        <v>99.48694029850746</v>
      </c>
    </row>
    <row r="856" spans="1:9" ht="16.5" customHeight="1">
      <c r="A856" s="15" t="s">
        <v>221</v>
      </c>
      <c r="B856" s="34" t="s">
        <v>203</v>
      </c>
      <c r="C856" s="34" t="s">
        <v>199</v>
      </c>
      <c r="D856" s="10" t="s">
        <v>397</v>
      </c>
      <c r="E856" s="25"/>
      <c r="F856" s="6">
        <f>F857+F859</f>
        <v>669</v>
      </c>
      <c r="G856" s="6">
        <f>G857+G859</f>
        <v>869</v>
      </c>
      <c r="H856" s="6">
        <f>H857+H859</f>
        <v>689</v>
      </c>
      <c r="I856" s="152">
        <f t="shared" si="87"/>
        <v>79.28653624856156</v>
      </c>
    </row>
    <row r="857" spans="1:9" ht="15.75">
      <c r="A857" s="12" t="s">
        <v>188</v>
      </c>
      <c r="B857" s="34" t="s">
        <v>203</v>
      </c>
      <c r="C857" s="34" t="s">
        <v>199</v>
      </c>
      <c r="D857" s="10" t="s">
        <v>398</v>
      </c>
      <c r="E857" s="25"/>
      <c r="F857" s="6">
        <f>F858</f>
        <v>669</v>
      </c>
      <c r="G857" s="6">
        <f>G858</f>
        <v>669</v>
      </c>
      <c r="H857" s="6">
        <f>H858</f>
        <v>668</v>
      </c>
      <c r="I857" s="152">
        <f t="shared" si="87"/>
        <v>99.85052316890882</v>
      </c>
    </row>
    <row r="858" spans="1:9" ht="15.75">
      <c r="A858" s="20" t="s">
        <v>243</v>
      </c>
      <c r="B858" s="34" t="s">
        <v>203</v>
      </c>
      <c r="C858" s="34" t="s">
        <v>199</v>
      </c>
      <c r="D858" s="10" t="s">
        <v>398</v>
      </c>
      <c r="E858" s="25" t="s">
        <v>244</v>
      </c>
      <c r="F858" s="6">
        <f>300+369</f>
        <v>669</v>
      </c>
      <c r="G858" s="6">
        <f>300+369</f>
        <v>669</v>
      </c>
      <c r="H858" s="6">
        <v>668</v>
      </c>
      <c r="I858" s="152">
        <f t="shared" si="87"/>
        <v>99.85052316890882</v>
      </c>
    </row>
    <row r="859" spans="1:9" ht="31.5">
      <c r="A859" s="20" t="s">
        <v>136</v>
      </c>
      <c r="B859" s="34" t="s">
        <v>203</v>
      </c>
      <c r="C859" s="34" t="s">
        <v>199</v>
      </c>
      <c r="D859" s="10" t="s">
        <v>135</v>
      </c>
      <c r="E859" s="25"/>
      <c r="F859" s="6">
        <f>F860</f>
        <v>0</v>
      </c>
      <c r="G859" s="6">
        <f>G860</f>
        <v>200</v>
      </c>
      <c r="H859" s="6">
        <f>H860</f>
        <v>21</v>
      </c>
      <c r="I859" s="152">
        <f t="shared" si="87"/>
        <v>10.5</v>
      </c>
    </row>
    <row r="860" spans="1:9" ht="15.75">
      <c r="A860" s="20" t="s">
        <v>243</v>
      </c>
      <c r="B860" s="34" t="s">
        <v>203</v>
      </c>
      <c r="C860" s="34" t="s">
        <v>199</v>
      </c>
      <c r="D860" s="10" t="s">
        <v>135</v>
      </c>
      <c r="E860" s="25" t="s">
        <v>244</v>
      </c>
      <c r="F860" s="6">
        <v>0</v>
      </c>
      <c r="G860" s="6">
        <v>200</v>
      </c>
      <c r="H860" s="6">
        <v>21</v>
      </c>
      <c r="I860" s="152">
        <f t="shared" si="87"/>
        <v>10.5</v>
      </c>
    </row>
    <row r="861" spans="1:9" ht="15.75">
      <c r="A861" s="26" t="s">
        <v>510</v>
      </c>
      <c r="B861" s="34" t="s">
        <v>203</v>
      </c>
      <c r="C861" s="34" t="s">
        <v>199</v>
      </c>
      <c r="D861" s="10" t="s">
        <v>481</v>
      </c>
      <c r="E861" s="25"/>
      <c r="F861" s="6">
        <f aca="true" t="shared" si="95" ref="F861:H862">F862</f>
        <v>715</v>
      </c>
      <c r="G861" s="6">
        <f t="shared" si="95"/>
        <v>715</v>
      </c>
      <c r="H861" s="6">
        <f t="shared" si="95"/>
        <v>711</v>
      </c>
      <c r="I861" s="152">
        <f t="shared" si="87"/>
        <v>99.44055944055944</v>
      </c>
    </row>
    <row r="862" spans="1:9" ht="31.5">
      <c r="A862" s="20" t="s">
        <v>650</v>
      </c>
      <c r="B862" s="34" t="s">
        <v>203</v>
      </c>
      <c r="C862" s="34" t="s">
        <v>199</v>
      </c>
      <c r="D862" s="10" t="s">
        <v>651</v>
      </c>
      <c r="E862" s="25"/>
      <c r="F862" s="6">
        <f t="shared" si="95"/>
        <v>715</v>
      </c>
      <c r="G862" s="6">
        <f t="shared" si="95"/>
        <v>715</v>
      </c>
      <c r="H862" s="6">
        <f t="shared" si="95"/>
        <v>711</v>
      </c>
      <c r="I862" s="152">
        <f t="shared" si="87"/>
        <v>99.44055944055944</v>
      </c>
    </row>
    <row r="863" spans="1:9" ht="15.75">
      <c r="A863" s="45" t="s">
        <v>292</v>
      </c>
      <c r="B863" s="34" t="s">
        <v>203</v>
      </c>
      <c r="C863" s="34" t="s">
        <v>199</v>
      </c>
      <c r="D863" s="10" t="s">
        <v>651</v>
      </c>
      <c r="E863" s="25" t="s">
        <v>274</v>
      </c>
      <c r="F863" s="6">
        <f>715</f>
        <v>715</v>
      </c>
      <c r="G863" s="6">
        <f>715</f>
        <v>715</v>
      </c>
      <c r="H863" s="6">
        <v>711</v>
      </c>
      <c r="I863" s="152">
        <f t="shared" si="87"/>
        <v>99.44055944055944</v>
      </c>
    </row>
    <row r="864" spans="1:9" ht="15.75">
      <c r="A864" s="9" t="s">
        <v>230</v>
      </c>
      <c r="B864" s="21" t="s">
        <v>203</v>
      </c>
      <c r="C864" s="21" t="s">
        <v>199</v>
      </c>
      <c r="D864" s="11" t="s">
        <v>286</v>
      </c>
      <c r="E864" s="22"/>
      <c r="F864" s="4">
        <f>F865+F867+F875+F881+F869+F871+F878+F873</f>
        <v>6587</v>
      </c>
      <c r="G864" s="4">
        <f>G865+G867+G875+G881+G869+G871+G878+G873</f>
        <v>6385</v>
      </c>
      <c r="H864" s="4">
        <f>H865+H867+H875+H881+H869+H871+H878+H873</f>
        <v>6291</v>
      </c>
      <c r="I864" s="152">
        <f aca="true" t="shared" si="96" ref="I864:I917">H864/G864*100</f>
        <v>98.52779953014878</v>
      </c>
    </row>
    <row r="865" spans="1:9" ht="31.5">
      <c r="A865" s="15" t="s">
        <v>517</v>
      </c>
      <c r="B865" s="21" t="s">
        <v>203</v>
      </c>
      <c r="C865" s="21" t="s">
        <v>199</v>
      </c>
      <c r="D865" s="11" t="s">
        <v>307</v>
      </c>
      <c r="E865" s="22"/>
      <c r="F865" s="4">
        <f>F866</f>
        <v>5027</v>
      </c>
      <c r="G865" s="4">
        <f>G866</f>
        <v>5025</v>
      </c>
      <c r="H865" s="4">
        <f>H866</f>
        <v>4941</v>
      </c>
      <c r="I865" s="152">
        <f t="shared" si="96"/>
        <v>98.32835820895522</v>
      </c>
    </row>
    <row r="866" spans="1:9" ht="15.75">
      <c r="A866" s="45" t="s">
        <v>188</v>
      </c>
      <c r="B866" s="17" t="s">
        <v>203</v>
      </c>
      <c r="C866" s="17" t="s">
        <v>199</v>
      </c>
      <c r="D866" s="18" t="s">
        <v>307</v>
      </c>
      <c r="E866" s="19" t="s">
        <v>404</v>
      </c>
      <c r="F866" s="4">
        <f>4727+300</f>
        <v>5027</v>
      </c>
      <c r="G866" s="4">
        <v>5025</v>
      </c>
      <c r="H866" s="4">
        <v>4941</v>
      </c>
      <c r="I866" s="152">
        <f t="shared" si="96"/>
        <v>98.32835820895522</v>
      </c>
    </row>
    <row r="867" spans="1:9" ht="31.5">
      <c r="A867" s="15" t="s">
        <v>506</v>
      </c>
      <c r="B867" s="21" t="s">
        <v>203</v>
      </c>
      <c r="C867" s="21" t="s">
        <v>199</v>
      </c>
      <c r="D867" s="11" t="s">
        <v>363</v>
      </c>
      <c r="E867" s="22"/>
      <c r="F867" s="4">
        <f>F868</f>
        <v>185</v>
      </c>
      <c r="G867" s="4">
        <f>G868</f>
        <v>185</v>
      </c>
      <c r="H867" s="4">
        <f>H868</f>
        <v>175</v>
      </c>
      <c r="I867" s="152">
        <f t="shared" si="96"/>
        <v>94.5945945945946</v>
      </c>
    </row>
    <row r="868" spans="1:9" ht="15.75">
      <c r="A868" s="45" t="s">
        <v>188</v>
      </c>
      <c r="B868" s="17" t="s">
        <v>203</v>
      </c>
      <c r="C868" s="17" t="s">
        <v>199</v>
      </c>
      <c r="D868" s="18" t="s">
        <v>363</v>
      </c>
      <c r="E868" s="19" t="s">
        <v>404</v>
      </c>
      <c r="F868" s="4">
        <f>185</f>
        <v>185</v>
      </c>
      <c r="G868" s="4">
        <f>185</f>
        <v>185</v>
      </c>
      <c r="H868" s="4">
        <v>175</v>
      </c>
      <c r="I868" s="152">
        <f t="shared" si="96"/>
        <v>94.5945945945946</v>
      </c>
    </row>
    <row r="869" spans="1:9" ht="31.5">
      <c r="A869" s="45" t="s">
        <v>507</v>
      </c>
      <c r="B869" s="17" t="s">
        <v>203</v>
      </c>
      <c r="C869" s="17" t="s">
        <v>199</v>
      </c>
      <c r="D869" s="18" t="s">
        <v>343</v>
      </c>
      <c r="E869" s="19"/>
      <c r="F869" s="4">
        <f>F870</f>
        <v>15</v>
      </c>
      <c r="G869" s="4">
        <f>G870</f>
        <v>15</v>
      </c>
      <c r="H869" s="4">
        <f>H870</f>
        <v>15</v>
      </c>
      <c r="I869" s="152">
        <f t="shared" si="96"/>
        <v>100</v>
      </c>
    </row>
    <row r="870" spans="1:9" ht="15.75">
      <c r="A870" s="45" t="s">
        <v>188</v>
      </c>
      <c r="B870" s="17" t="s">
        <v>203</v>
      </c>
      <c r="C870" s="17" t="s">
        <v>199</v>
      </c>
      <c r="D870" s="18" t="s">
        <v>343</v>
      </c>
      <c r="E870" s="19" t="s">
        <v>404</v>
      </c>
      <c r="F870" s="4">
        <f>15</f>
        <v>15</v>
      </c>
      <c r="G870" s="4">
        <f>15</f>
        <v>15</v>
      </c>
      <c r="H870" s="4">
        <f>15</f>
        <v>15</v>
      </c>
      <c r="I870" s="152">
        <f t="shared" si="96"/>
        <v>100</v>
      </c>
    </row>
    <row r="871" spans="1:9" ht="31.5">
      <c r="A871" s="26" t="s">
        <v>596</v>
      </c>
      <c r="B871" s="17" t="s">
        <v>203</v>
      </c>
      <c r="C871" s="17" t="s">
        <v>199</v>
      </c>
      <c r="D871" s="18" t="s">
        <v>597</v>
      </c>
      <c r="E871" s="19"/>
      <c r="F871" s="4">
        <f>F872</f>
        <v>5</v>
      </c>
      <c r="G871" s="4">
        <f>G872</f>
        <v>5</v>
      </c>
      <c r="H871" s="4">
        <f>H872</f>
        <v>5</v>
      </c>
      <c r="I871" s="152">
        <f t="shared" si="96"/>
        <v>100</v>
      </c>
    </row>
    <row r="872" spans="1:9" ht="15.75">
      <c r="A872" s="45" t="s">
        <v>292</v>
      </c>
      <c r="B872" s="17" t="s">
        <v>203</v>
      </c>
      <c r="C872" s="17" t="s">
        <v>199</v>
      </c>
      <c r="D872" s="18" t="s">
        <v>597</v>
      </c>
      <c r="E872" s="19" t="s">
        <v>274</v>
      </c>
      <c r="F872" s="4">
        <f>5</f>
        <v>5</v>
      </c>
      <c r="G872" s="4">
        <f>5</f>
        <v>5</v>
      </c>
      <c r="H872" s="4">
        <f>5</f>
        <v>5</v>
      </c>
      <c r="I872" s="152">
        <f t="shared" si="96"/>
        <v>100</v>
      </c>
    </row>
    <row r="873" spans="1:9" ht="47.25">
      <c r="A873" s="20" t="s">
        <v>513</v>
      </c>
      <c r="B873" s="17" t="s">
        <v>203</v>
      </c>
      <c r="C873" s="17" t="s">
        <v>199</v>
      </c>
      <c r="D873" s="18" t="s">
        <v>509</v>
      </c>
      <c r="E873" s="19"/>
      <c r="F873" s="4">
        <f>F874</f>
        <v>80</v>
      </c>
      <c r="G873" s="4">
        <f>G874</f>
        <v>80</v>
      </c>
      <c r="H873" s="4">
        <f>H874</f>
        <v>80</v>
      </c>
      <c r="I873" s="152">
        <f t="shared" si="96"/>
        <v>100</v>
      </c>
    </row>
    <row r="874" spans="1:9" ht="15.75">
      <c r="A874" s="45" t="s">
        <v>292</v>
      </c>
      <c r="B874" s="17" t="s">
        <v>203</v>
      </c>
      <c r="C874" s="17" t="s">
        <v>199</v>
      </c>
      <c r="D874" s="18" t="s">
        <v>509</v>
      </c>
      <c r="E874" s="19" t="s">
        <v>274</v>
      </c>
      <c r="F874" s="4">
        <f>80</f>
        <v>80</v>
      </c>
      <c r="G874" s="4">
        <f>80</f>
        <v>80</v>
      </c>
      <c r="H874" s="4">
        <f>80</f>
        <v>80</v>
      </c>
      <c r="I874" s="152">
        <f t="shared" si="96"/>
        <v>100</v>
      </c>
    </row>
    <row r="875" spans="1:9" ht="31.5">
      <c r="A875" s="20" t="s">
        <v>599</v>
      </c>
      <c r="B875" s="17" t="s">
        <v>203</v>
      </c>
      <c r="C875" s="17" t="s">
        <v>199</v>
      </c>
      <c r="D875" s="18" t="s">
        <v>405</v>
      </c>
      <c r="E875" s="19"/>
      <c r="F875" s="24">
        <f>F877+F876</f>
        <v>250</v>
      </c>
      <c r="G875" s="24">
        <f>G877+G876</f>
        <v>50</v>
      </c>
      <c r="H875" s="24">
        <f>H877+H876</f>
        <v>50</v>
      </c>
      <c r="I875" s="152">
        <f t="shared" si="96"/>
        <v>100</v>
      </c>
    </row>
    <row r="876" spans="1:9" ht="15.75">
      <c r="A876" s="45" t="s">
        <v>640</v>
      </c>
      <c r="B876" s="17" t="s">
        <v>203</v>
      </c>
      <c r="C876" s="17" t="s">
        <v>199</v>
      </c>
      <c r="D876" s="18" t="s">
        <v>405</v>
      </c>
      <c r="E876" s="19" t="s">
        <v>641</v>
      </c>
      <c r="F876" s="24">
        <v>50</v>
      </c>
      <c r="G876" s="24">
        <v>50</v>
      </c>
      <c r="H876" s="24">
        <v>50</v>
      </c>
      <c r="I876" s="152">
        <f t="shared" si="96"/>
        <v>100</v>
      </c>
    </row>
    <row r="877" spans="1:9" ht="15.75" hidden="1">
      <c r="A877" s="45" t="s">
        <v>188</v>
      </c>
      <c r="B877" s="17" t="s">
        <v>203</v>
      </c>
      <c r="C877" s="17" t="s">
        <v>199</v>
      </c>
      <c r="D877" s="17" t="s">
        <v>405</v>
      </c>
      <c r="E877" s="19" t="s">
        <v>404</v>
      </c>
      <c r="F877" s="24">
        <f>250-50</f>
        <v>200</v>
      </c>
      <c r="G877" s="24">
        <v>0</v>
      </c>
      <c r="H877" s="24">
        <v>0</v>
      </c>
      <c r="I877" s="152">
        <v>0</v>
      </c>
    </row>
    <row r="878" spans="1:9" ht="31.5">
      <c r="A878" s="26" t="s">
        <v>595</v>
      </c>
      <c r="B878" s="17" t="s">
        <v>203</v>
      </c>
      <c r="C878" s="17" t="s">
        <v>199</v>
      </c>
      <c r="D878" s="101" t="s">
        <v>329</v>
      </c>
      <c r="E878" s="102"/>
      <c r="F878" s="116">
        <f aca="true" t="shared" si="97" ref="F878:H879">F879</f>
        <v>100</v>
      </c>
      <c r="G878" s="116">
        <f t="shared" si="97"/>
        <v>100</v>
      </c>
      <c r="H878" s="116">
        <f t="shared" si="97"/>
        <v>100</v>
      </c>
      <c r="I878" s="152">
        <f t="shared" si="96"/>
        <v>100</v>
      </c>
    </row>
    <row r="879" spans="1:9" ht="31.5">
      <c r="A879" s="100" t="s">
        <v>639</v>
      </c>
      <c r="B879" s="17" t="s">
        <v>203</v>
      </c>
      <c r="C879" s="17" t="s">
        <v>199</v>
      </c>
      <c r="D879" s="101" t="s">
        <v>421</v>
      </c>
      <c r="E879" s="102"/>
      <c r="F879" s="116">
        <f t="shared" si="97"/>
        <v>100</v>
      </c>
      <c r="G879" s="116">
        <f t="shared" si="97"/>
        <v>100</v>
      </c>
      <c r="H879" s="116">
        <f t="shared" si="97"/>
        <v>100</v>
      </c>
      <c r="I879" s="152">
        <f t="shared" si="96"/>
        <v>100</v>
      </c>
    </row>
    <row r="880" spans="1:9" ht="15.75">
      <c r="A880" s="45" t="s">
        <v>292</v>
      </c>
      <c r="B880" s="17" t="s">
        <v>203</v>
      </c>
      <c r="C880" s="17" t="s">
        <v>199</v>
      </c>
      <c r="D880" s="101" t="s">
        <v>421</v>
      </c>
      <c r="E880" s="102" t="s">
        <v>274</v>
      </c>
      <c r="F880" s="116">
        <f>100</f>
        <v>100</v>
      </c>
      <c r="G880" s="116">
        <f>100</f>
        <v>100</v>
      </c>
      <c r="H880" s="116">
        <f>100</f>
        <v>100</v>
      </c>
      <c r="I880" s="152">
        <f t="shared" si="96"/>
        <v>100</v>
      </c>
    </row>
    <row r="881" spans="1:9" ht="32.25" customHeight="1">
      <c r="A881" s="45" t="s">
        <v>553</v>
      </c>
      <c r="B881" s="101" t="s">
        <v>203</v>
      </c>
      <c r="C881" s="101" t="s">
        <v>199</v>
      </c>
      <c r="D881" s="101" t="s">
        <v>554</v>
      </c>
      <c r="E881" s="102"/>
      <c r="F881" s="103">
        <f>F882</f>
        <v>925</v>
      </c>
      <c r="G881" s="103">
        <f>G882</f>
        <v>925</v>
      </c>
      <c r="H881" s="103">
        <f>H882</f>
        <v>925</v>
      </c>
      <c r="I881" s="152">
        <f t="shared" si="96"/>
        <v>100</v>
      </c>
    </row>
    <row r="882" spans="1:9" ht="15.75">
      <c r="A882" s="45" t="s">
        <v>188</v>
      </c>
      <c r="B882" s="101" t="s">
        <v>203</v>
      </c>
      <c r="C882" s="101" t="s">
        <v>199</v>
      </c>
      <c r="D882" s="101" t="s">
        <v>554</v>
      </c>
      <c r="E882" s="102" t="s">
        <v>404</v>
      </c>
      <c r="F882" s="103">
        <f>925</f>
        <v>925</v>
      </c>
      <c r="G882" s="103">
        <f>925</f>
        <v>925</v>
      </c>
      <c r="H882" s="103">
        <f>925</f>
        <v>925</v>
      </c>
      <c r="I882" s="152">
        <f t="shared" si="96"/>
        <v>100</v>
      </c>
    </row>
    <row r="883" spans="1:9" ht="12" customHeight="1">
      <c r="A883" s="100"/>
      <c r="B883" s="101"/>
      <c r="C883" s="101"/>
      <c r="D883" s="101"/>
      <c r="E883" s="102"/>
      <c r="F883" s="103"/>
      <c r="G883" s="103"/>
      <c r="H883" s="103"/>
      <c r="I883" s="152"/>
    </row>
    <row r="884" spans="1:9" ht="15.75">
      <c r="A884" s="57" t="s">
        <v>382</v>
      </c>
      <c r="B884" s="28" t="s">
        <v>209</v>
      </c>
      <c r="C884" s="28"/>
      <c r="D884" s="35"/>
      <c r="E884" s="36"/>
      <c r="F884" s="7">
        <f>F885+F892</f>
        <v>16113</v>
      </c>
      <c r="G884" s="7">
        <f>G885+G892</f>
        <v>16395</v>
      </c>
      <c r="H884" s="7">
        <f>H885+H892</f>
        <v>16252</v>
      </c>
      <c r="I884" s="154">
        <f t="shared" si="96"/>
        <v>99.12778286062824</v>
      </c>
    </row>
    <row r="885" spans="1:9" ht="15.75">
      <c r="A885" s="27" t="s">
        <v>164</v>
      </c>
      <c r="B885" s="28" t="s">
        <v>209</v>
      </c>
      <c r="C885" s="28" t="s">
        <v>196</v>
      </c>
      <c r="D885" s="35"/>
      <c r="E885" s="36"/>
      <c r="F885" s="7">
        <f aca="true" t="shared" si="98" ref="F885:H887">F886</f>
        <v>0</v>
      </c>
      <c r="G885" s="7">
        <f t="shared" si="98"/>
        <v>410</v>
      </c>
      <c r="H885" s="7">
        <f t="shared" si="98"/>
        <v>308</v>
      </c>
      <c r="I885" s="154">
        <f t="shared" si="96"/>
        <v>75.1219512195122</v>
      </c>
    </row>
    <row r="886" spans="1:9" ht="15.75">
      <c r="A886" s="15" t="s">
        <v>187</v>
      </c>
      <c r="B886" s="34" t="s">
        <v>209</v>
      </c>
      <c r="C886" s="34" t="s">
        <v>196</v>
      </c>
      <c r="D886" s="10" t="s">
        <v>256</v>
      </c>
      <c r="E886" s="25"/>
      <c r="F886" s="4">
        <f t="shared" si="98"/>
        <v>0</v>
      </c>
      <c r="G886" s="4">
        <f t="shared" si="98"/>
        <v>410</v>
      </c>
      <c r="H886" s="4">
        <f t="shared" si="98"/>
        <v>308</v>
      </c>
      <c r="I886" s="152">
        <f t="shared" si="96"/>
        <v>75.1219512195122</v>
      </c>
    </row>
    <row r="887" spans="1:9" ht="15.75">
      <c r="A887" s="12" t="s">
        <v>257</v>
      </c>
      <c r="B887" s="34" t="s">
        <v>209</v>
      </c>
      <c r="C887" s="34" t="s">
        <v>196</v>
      </c>
      <c r="D887" s="10" t="s">
        <v>258</v>
      </c>
      <c r="E887" s="25"/>
      <c r="F887" s="4">
        <f t="shared" si="98"/>
        <v>0</v>
      </c>
      <c r="G887" s="4">
        <f t="shared" si="98"/>
        <v>410</v>
      </c>
      <c r="H887" s="4">
        <f t="shared" si="98"/>
        <v>308</v>
      </c>
      <c r="I887" s="152">
        <f t="shared" si="96"/>
        <v>75.1219512195122</v>
      </c>
    </row>
    <row r="888" spans="1:9" ht="15.75">
      <c r="A888" s="32" t="s">
        <v>434</v>
      </c>
      <c r="B888" s="34" t="s">
        <v>209</v>
      </c>
      <c r="C888" s="34" t="s">
        <v>196</v>
      </c>
      <c r="D888" s="10" t="s">
        <v>259</v>
      </c>
      <c r="E888" s="25"/>
      <c r="F888" s="4">
        <f>F889+F890</f>
        <v>0</v>
      </c>
      <c r="G888" s="4">
        <f>G889+G890</f>
        <v>410</v>
      </c>
      <c r="H888" s="4">
        <f>H889+H890</f>
        <v>308</v>
      </c>
      <c r="I888" s="152">
        <f t="shared" si="96"/>
        <v>75.1219512195122</v>
      </c>
    </row>
    <row r="889" spans="1:9" ht="15.75">
      <c r="A889" s="45" t="s">
        <v>583</v>
      </c>
      <c r="B889" s="34" t="s">
        <v>209</v>
      </c>
      <c r="C889" s="34" t="s">
        <v>196</v>
      </c>
      <c r="D889" s="10" t="s">
        <v>259</v>
      </c>
      <c r="E889" s="25" t="s">
        <v>600</v>
      </c>
      <c r="F889" s="4">
        <f>2300-2300</f>
        <v>0</v>
      </c>
      <c r="G889" s="4">
        <v>370</v>
      </c>
      <c r="H889" s="4">
        <v>268</v>
      </c>
      <c r="I889" s="152">
        <f t="shared" si="96"/>
        <v>72.43243243243244</v>
      </c>
    </row>
    <row r="890" spans="1:9" ht="15.75">
      <c r="A890" s="20" t="s">
        <v>243</v>
      </c>
      <c r="B890" s="34" t="s">
        <v>209</v>
      </c>
      <c r="C890" s="34" t="s">
        <v>196</v>
      </c>
      <c r="D890" s="10" t="s">
        <v>259</v>
      </c>
      <c r="E890" s="25" t="s">
        <v>244</v>
      </c>
      <c r="F890" s="4">
        <v>0</v>
      </c>
      <c r="G890" s="4">
        <v>40</v>
      </c>
      <c r="H890" s="4">
        <v>40</v>
      </c>
      <c r="I890" s="152">
        <f t="shared" si="96"/>
        <v>100</v>
      </c>
    </row>
    <row r="891" spans="1:9" ht="12.75" customHeight="1">
      <c r="A891" s="15"/>
      <c r="B891" s="21"/>
      <c r="C891" s="34"/>
      <c r="D891" s="11"/>
      <c r="E891" s="22"/>
      <c r="F891" s="4"/>
      <c r="G891" s="4"/>
      <c r="H891" s="4"/>
      <c r="I891" s="152"/>
    </row>
    <row r="892" spans="1:9" ht="15.75">
      <c r="A892" s="27" t="s">
        <v>567</v>
      </c>
      <c r="B892" s="28" t="s">
        <v>209</v>
      </c>
      <c r="C892" s="28" t="s">
        <v>205</v>
      </c>
      <c r="D892" s="35"/>
      <c r="E892" s="36"/>
      <c r="F892" s="7">
        <f>F893+F896</f>
        <v>16113</v>
      </c>
      <c r="G892" s="7">
        <f>G893+G896</f>
        <v>15985</v>
      </c>
      <c r="H892" s="7">
        <f>H893+H896</f>
        <v>15944</v>
      </c>
      <c r="I892" s="154">
        <f t="shared" si="96"/>
        <v>99.74350954019393</v>
      </c>
    </row>
    <row r="893" spans="1:9" ht="47.25">
      <c r="A893" s="9" t="s">
        <v>240</v>
      </c>
      <c r="B893" s="34" t="s">
        <v>209</v>
      </c>
      <c r="C893" s="34" t="s">
        <v>205</v>
      </c>
      <c r="D893" s="10" t="s">
        <v>241</v>
      </c>
      <c r="E893" s="25"/>
      <c r="F893" s="6">
        <f aca="true" t="shared" si="99" ref="F893:H894">F894</f>
        <v>4281</v>
      </c>
      <c r="G893" s="6">
        <f t="shared" si="99"/>
        <v>4281</v>
      </c>
      <c r="H893" s="6">
        <f t="shared" si="99"/>
        <v>4254</v>
      </c>
      <c r="I893" s="152">
        <f t="shared" si="96"/>
        <v>99.36930623686054</v>
      </c>
    </row>
    <row r="894" spans="1:9" ht="15.75">
      <c r="A894" s="12" t="s">
        <v>181</v>
      </c>
      <c r="B894" s="34" t="s">
        <v>209</v>
      </c>
      <c r="C894" s="34" t="s">
        <v>205</v>
      </c>
      <c r="D894" s="10" t="s">
        <v>247</v>
      </c>
      <c r="E894" s="25"/>
      <c r="F894" s="6">
        <f t="shared" si="99"/>
        <v>4281</v>
      </c>
      <c r="G894" s="6">
        <f t="shared" si="99"/>
        <v>4281</v>
      </c>
      <c r="H894" s="6">
        <f t="shared" si="99"/>
        <v>4254</v>
      </c>
      <c r="I894" s="152">
        <f t="shared" si="96"/>
        <v>99.36930623686054</v>
      </c>
    </row>
    <row r="895" spans="1:9" ht="15.75">
      <c r="A895" s="20" t="s">
        <v>243</v>
      </c>
      <c r="B895" s="34" t="s">
        <v>209</v>
      </c>
      <c r="C895" s="34" t="s">
        <v>205</v>
      </c>
      <c r="D895" s="10" t="s">
        <v>247</v>
      </c>
      <c r="E895" s="25" t="s">
        <v>244</v>
      </c>
      <c r="F895" s="6">
        <f>3817+240+224</f>
        <v>4281</v>
      </c>
      <c r="G895" s="6">
        <f>3817+240+224</f>
        <v>4281</v>
      </c>
      <c r="H895" s="6">
        <v>4254</v>
      </c>
      <c r="I895" s="152">
        <f t="shared" si="96"/>
        <v>99.36930623686054</v>
      </c>
    </row>
    <row r="896" spans="1:9" ht="15.75">
      <c r="A896" s="26" t="s">
        <v>230</v>
      </c>
      <c r="B896" s="17" t="s">
        <v>209</v>
      </c>
      <c r="C896" s="17" t="s">
        <v>205</v>
      </c>
      <c r="D896" s="18" t="s">
        <v>286</v>
      </c>
      <c r="E896" s="19"/>
      <c r="F896" s="4">
        <f>F897</f>
        <v>11832</v>
      </c>
      <c r="G896" s="4">
        <f>G897</f>
        <v>11704</v>
      </c>
      <c r="H896" s="4">
        <f>H897</f>
        <v>11690</v>
      </c>
      <c r="I896" s="152">
        <f t="shared" si="96"/>
        <v>99.88038277511961</v>
      </c>
    </row>
    <row r="897" spans="1:9" ht="31.5">
      <c r="A897" s="15" t="s">
        <v>515</v>
      </c>
      <c r="B897" s="17" t="s">
        <v>209</v>
      </c>
      <c r="C897" s="17" t="s">
        <v>205</v>
      </c>
      <c r="D897" s="18" t="s">
        <v>351</v>
      </c>
      <c r="E897" s="19"/>
      <c r="F897" s="4">
        <f>F899+F898</f>
        <v>11832</v>
      </c>
      <c r="G897" s="4">
        <f>G899+G898</f>
        <v>11704</v>
      </c>
      <c r="H897" s="4">
        <f>H899+H898</f>
        <v>11690</v>
      </c>
      <c r="I897" s="152">
        <f t="shared" si="96"/>
        <v>99.88038277511961</v>
      </c>
    </row>
    <row r="898" spans="1:9" ht="15.75">
      <c r="A898" s="26" t="s">
        <v>284</v>
      </c>
      <c r="B898" s="17" t="s">
        <v>209</v>
      </c>
      <c r="C898" s="17" t="s">
        <v>205</v>
      </c>
      <c r="D898" s="18" t="s">
        <v>351</v>
      </c>
      <c r="E898" s="19" t="s">
        <v>180</v>
      </c>
      <c r="F898" s="4">
        <v>0</v>
      </c>
      <c r="G898" s="4">
        <v>19</v>
      </c>
      <c r="H898" s="4">
        <v>19</v>
      </c>
      <c r="I898" s="152">
        <f t="shared" si="96"/>
        <v>100</v>
      </c>
    </row>
    <row r="899" spans="1:9" ht="15.75">
      <c r="A899" s="45" t="s">
        <v>583</v>
      </c>
      <c r="B899" s="17" t="s">
        <v>209</v>
      </c>
      <c r="C899" s="17" t="s">
        <v>205</v>
      </c>
      <c r="D899" s="18" t="s">
        <v>351</v>
      </c>
      <c r="E899" s="19" t="s">
        <v>600</v>
      </c>
      <c r="F899" s="24">
        <f>9760+31+500+1500+41</f>
        <v>11832</v>
      </c>
      <c r="G899" s="24">
        <v>11685</v>
      </c>
      <c r="H899" s="24">
        <v>11671</v>
      </c>
      <c r="I899" s="152">
        <f t="shared" si="96"/>
        <v>99.88018827556697</v>
      </c>
    </row>
    <row r="900" spans="1:9" ht="12" customHeight="1">
      <c r="A900" s="100"/>
      <c r="B900" s="101"/>
      <c r="C900" s="101"/>
      <c r="D900" s="124"/>
      <c r="E900" s="102"/>
      <c r="F900" s="116"/>
      <c r="G900" s="116"/>
      <c r="H900" s="116"/>
      <c r="I900" s="152"/>
    </row>
    <row r="901" spans="1:9" ht="15.75">
      <c r="A901" s="27" t="s">
        <v>31</v>
      </c>
      <c r="B901" s="28" t="s">
        <v>201</v>
      </c>
      <c r="C901" s="28"/>
      <c r="D901" s="35"/>
      <c r="E901" s="36"/>
      <c r="F901" s="7">
        <f>F902</f>
        <v>11566</v>
      </c>
      <c r="G901" s="7">
        <f>G902</f>
        <v>11574</v>
      </c>
      <c r="H901" s="7">
        <f>H902</f>
        <v>11520</v>
      </c>
      <c r="I901" s="154">
        <f t="shared" si="96"/>
        <v>99.53343701399689</v>
      </c>
    </row>
    <row r="902" spans="1:9" ht="15.75">
      <c r="A902" s="27" t="s">
        <v>32</v>
      </c>
      <c r="B902" s="28" t="s">
        <v>201</v>
      </c>
      <c r="C902" s="28" t="s">
        <v>196</v>
      </c>
      <c r="D902" s="35"/>
      <c r="E902" s="36"/>
      <c r="F902" s="7">
        <f>F907+F903</f>
        <v>11566</v>
      </c>
      <c r="G902" s="7">
        <f>G907+G903</f>
        <v>11574</v>
      </c>
      <c r="H902" s="7">
        <f>H907+H903</f>
        <v>11520</v>
      </c>
      <c r="I902" s="154">
        <f t="shared" si="96"/>
        <v>99.53343701399689</v>
      </c>
    </row>
    <row r="903" spans="1:9" ht="15.75">
      <c r="A903" s="15" t="s">
        <v>187</v>
      </c>
      <c r="B903" s="21" t="s">
        <v>201</v>
      </c>
      <c r="C903" s="21" t="s">
        <v>196</v>
      </c>
      <c r="D903" s="21" t="s">
        <v>256</v>
      </c>
      <c r="E903" s="22"/>
      <c r="F903" s="6">
        <f aca="true" t="shared" si="100" ref="F903:H905">F904</f>
        <v>0</v>
      </c>
      <c r="G903" s="6">
        <f t="shared" si="100"/>
        <v>8</v>
      </c>
      <c r="H903" s="6">
        <f t="shared" si="100"/>
        <v>0</v>
      </c>
      <c r="I903" s="152">
        <f t="shared" si="96"/>
        <v>0</v>
      </c>
    </row>
    <row r="904" spans="1:9" ht="15.75">
      <c r="A904" s="12" t="s">
        <v>257</v>
      </c>
      <c r="B904" s="21" t="s">
        <v>201</v>
      </c>
      <c r="C904" s="21" t="s">
        <v>196</v>
      </c>
      <c r="D904" s="21" t="s">
        <v>258</v>
      </c>
      <c r="E904" s="22"/>
      <c r="F904" s="6">
        <f t="shared" si="100"/>
        <v>0</v>
      </c>
      <c r="G904" s="6">
        <f t="shared" si="100"/>
        <v>8</v>
      </c>
      <c r="H904" s="6">
        <f t="shared" si="100"/>
        <v>0</v>
      </c>
      <c r="I904" s="152">
        <f t="shared" si="96"/>
        <v>0</v>
      </c>
    </row>
    <row r="905" spans="1:9" ht="15.75">
      <c r="A905" s="32" t="s">
        <v>434</v>
      </c>
      <c r="B905" s="21" t="s">
        <v>201</v>
      </c>
      <c r="C905" s="21" t="s">
        <v>196</v>
      </c>
      <c r="D905" s="21" t="s">
        <v>259</v>
      </c>
      <c r="E905" s="22"/>
      <c r="F905" s="6">
        <f t="shared" si="100"/>
        <v>0</v>
      </c>
      <c r="G905" s="6">
        <f t="shared" si="100"/>
        <v>8</v>
      </c>
      <c r="H905" s="6">
        <f t="shared" si="100"/>
        <v>0</v>
      </c>
      <c r="I905" s="152">
        <f t="shared" si="96"/>
        <v>0</v>
      </c>
    </row>
    <row r="906" spans="1:9" ht="15.75">
      <c r="A906" s="9" t="s">
        <v>273</v>
      </c>
      <c r="B906" s="21" t="s">
        <v>201</v>
      </c>
      <c r="C906" s="21" t="s">
        <v>196</v>
      </c>
      <c r="D906" s="21" t="s">
        <v>260</v>
      </c>
      <c r="E906" s="19" t="s">
        <v>274</v>
      </c>
      <c r="F906" s="6">
        <v>0</v>
      </c>
      <c r="G906" s="6">
        <v>8</v>
      </c>
      <c r="H906" s="6">
        <v>0</v>
      </c>
      <c r="I906" s="152">
        <f t="shared" si="96"/>
        <v>0</v>
      </c>
    </row>
    <row r="907" spans="1:9" ht="31.5">
      <c r="A907" s="15" t="s">
        <v>33</v>
      </c>
      <c r="B907" s="21" t="s">
        <v>201</v>
      </c>
      <c r="C907" s="34" t="s">
        <v>196</v>
      </c>
      <c r="D907" s="11" t="s">
        <v>34</v>
      </c>
      <c r="E907" s="22"/>
      <c r="F907" s="4">
        <f aca="true" t="shared" si="101" ref="F907:H908">F908</f>
        <v>11566</v>
      </c>
      <c r="G907" s="4">
        <f t="shared" si="101"/>
        <v>11566</v>
      </c>
      <c r="H907" s="4">
        <f t="shared" si="101"/>
        <v>11520</v>
      </c>
      <c r="I907" s="152">
        <f t="shared" si="96"/>
        <v>99.60228255230848</v>
      </c>
    </row>
    <row r="908" spans="1:9" ht="15.75">
      <c r="A908" s="15" t="s">
        <v>35</v>
      </c>
      <c r="B908" s="21" t="s">
        <v>201</v>
      </c>
      <c r="C908" s="34" t="s">
        <v>196</v>
      </c>
      <c r="D908" s="11" t="s">
        <v>36</v>
      </c>
      <c r="E908" s="22"/>
      <c r="F908" s="4">
        <f t="shared" si="101"/>
        <v>11566</v>
      </c>
      <c r="G908" s="4">
        <f t="shared" si="101"/>
        <v>11566</v>
      </c>
      <c r="H908" s="4">
        <f t="shared" si="101"/>
        <v>11520</v>
      </c>
      <c r="I908" s="152">
        <f t="shared" si="96"/>
        <v>99.60228255230848</v>
      </c>
    </row>
    <row r="909" spans="1:9" ht="15.75">
      <c r="A909" s="45" t="s">
        <v>292</v>
      </c>
      <c r="B909" s="21" t="s">
        <v>201</v>
      </c>
      <c r="C909" s="34" t="s">
        <v>196</v>
      </c>
      <c r="D909" s="11" t="s">
        <v>36</v>
      </c>
      <c r="E909" s="22" t="s">
        <v>274</v>
      </c>
      <c r="F909" s="4">
        <f>4000+7500+66</f>
        <v>11566</v>
      </c>
      <c r="G909" s="4">
        <f>4000+7500+66</f>
        <v>11566</v>
      </c>
      <c r="H909" s="4">
        <v>11520</v>
      </c>
      <c r="I909" s="152">
        <f t="shared" si="96"/>
        <v>99.60228255230848</v>
      </c>
    </row>
    <row r="910" spans="1:9" ht="12" customHeight="1">
      <c r="A910" s="100"/>
      <c r="B910" s="101"/>
      <c r="C910" s="101"/>
      <c r="D910" s="101"/>
      <c r="E910" s="102"/>
      <c r="F910" s="103"/>
      <c r="G910" s="103"/>
      <c r="H910" s="103"/>
      <c r="I910" s="152"/>
    </row>
    <row r="911" spans="1:9" ht="15.75">
      <c r="A911" s="27" t="s">
        <v>251</v>
      </c>
      <c r="B911" s="28" t="s">
        <v>559</v>
      </c>
      <c r="C911" s="28"/>
      <c r="D911" s="35"/>
      <c r="E911" s="36"/>
      <c r="F911" s="7">
        <f aca="true" t="shared" si="102" ref="F911:H914">F912</f>
        <v>9161</v>
      </c>
      <c r="G911" s="7">
        <f t="shared" si="102"/>
        <v>9161</v>
      </c>
      <c r="H911" s="7">
        <f t="shared" si="102"/>
        <v>623</v>
      </c>
      <c r="I911" s="154">
        <f t="shared" si="96"/>
        <v>6.800567623621875</v>
      </c>
    </row>
    <row r="912" spans="1:9" ht="31.5">
      <c r="A912" s="27" t="s">
        <v>568</v>
      </c>
      <c r="B912" s="28" t="s">
        <v>559</v>
      </c>
      <c r="C912" s="28" t="s">
        <v>195</v>
      </c>
      <c r="D912" s="35"/>
      <c r="E912" s="36"/>
      <c r="F912" s="7">
        <f t="shared" si="102"/>
        <v>9161</v>
      </c>
      <c r="G912" s="7">
        <f t="shared" si="102"/>
        <v>9161</v>
      </c>
      <c r="H912" s="7">
        <f t="shared" si="102"/>
        <v>623</v>
      </c>
      <c r="I912" s="154">
        <f t="shared" si="96"/>
        <v>6.800567623621875</v>
      </c>
    </row>
    <row r="913" spans="1:9" ht="15.75">
      <c r="A913" s="15" t="s">
        <v>207</v>
      </c>
      <c r="B913" s="21" t="s">
        <v>559</v>
      </c>
      <c r="C913" s="21" t="s">
        <v>195</v>
      </c>
      <c r="D913" s="21" t="s">
        <v>252</v>
      </c>
      <c r="E913" s="22"/>
      <c r="F913" s="4">
        <f t="shared" si="102"/>
        <v>9161</v>
      </c>
      <c r="G913" s="4">
        <f t="shared" si="102"/>
        <v>9161</v>
      </c>
      <c r="H913" s="4">
        <f t="shared" si="102"/>
        <v>623</v>
      </c>
      <c r="I913" s="152">
        <f t="shared" si="96"/>
        <v>6.800567623621875</v>
      </c>
    </row>
    <row r="914" spans="1:9" ht="15.75">
      <c r="A914" s="12" t="s">
        <v>186</v>
      </c>
      <c r="B914" s="21" t="s">
        <v>559</v>
      </c>
      <c r="C914" s="21" t="s">
        <v>195</v>
      </c>
      <c r="D914" s="21" t="s">
        <v>253</v>
      </c>
      <c r="E914" s="22"/>
      <c r="F914" s="4">
        <f t="shared" si="102"/>
        <v>9161</v>
      </c>
      <c r="G914" s="4">
        <f t="shared" si="102"/>
        <v>9161</v>
      </c>
      <c r="H914" s="4">
        <f t="shared" si="102"/>
        <v>623</v>
      </c>
      <c r="I914" s="152">
        <f t="shared" si="96"/>
        <v>6.800567623621875</v>
      </c>
    </row>
    <row r="915" spans="1:9" ht="15.75">
      <c r="A915" s="12" t="s">
        <v>254</v>
      </c>
      <c r="B915" s="21" t="s">
        <v>559</v>
      </c>
      <c r="C915" s="21" t="s">
        <v>195</v>
      </c>
      <c r="D915" s="21" t="s">
        <v>253</v>
      </c>
      <c r="E915" s="22" t="s">
        <v>255</v>
      </c>
      <c r="F915" s="4">
        <f>52000-22550-20289</f>
        <v>9161</v>
      </c>
      <c r="G915" s="4">
        <f>52000-22550-20289</f>
        <v>9161</v>
      </c>
      <c r="H915" s="4">
        <v>623</v>
      </c>
      <c r="I915" s="152">
        <f t="shared" si="96"/>
        <v>6.800567623621875</v>
      </c>
    </row>
    <row r="916" spans="1:9" ht="12" customHeight="1">
      <c r="A916" s="59"/>
      <c r="B916" s="83"/>
      <c r="C916" s="83"/>
      <c r="D916" s="84"/>
      <c r="E916" s="85"/>
      <c r="F916" s="86"/>
      <c r="G916" s="86"/>
      <c r="H916" s="86"/>
      <c r="I916" s="153"/>
    </row>
    <row r="917" spans="1:9" ht="14.25" customHeight="1">
      <c r="A917" s="60" t="s">
        <v>174</v>
      </c>
      <c r="B917" s="77"/>
      <c r="C917" s="77"/>
      <c r="D917" s="87"/>
      <c r="E917" s="88"/>
      <c r="F917" s="89">
        <f>F42+F137+F187+F238+F416+F423+F586+F653+F768+F884+F911+F901</f>
        <v>7095250</v>
      </c>
      <c r="G917" s="89">
        <f>G42+G137+G187+G238+G416+G423+G586+G653+G768+G884+G911+G901</f>
        <v>8352156</v>
      </c>
      <c r="H917" s="89">
        <f>H42+H137+H187+H238+H416+H423+H586+H653+H768+H884+H911+H901</f>
        <v>7941120</v>
      </c>
      <c r="I917" s="155">
        <f t="shared" si="96"/>
        <v>95.0786838751575</v>
      </c>
    </row>
    <row r="918" spans="1:8" ht="49.5" customHeight="1">
      <c r="A918" s="166" t="s">
        <v>368</v>
      </c>
      <c r="B918" s="166"/>
      <c r="C918" s="166"/>
      <c r="D918" s="166"/>
      <c r="E918" s="166"/>
      <c r="F918" s="166"/>
      <c r="G918" s="166"/>
      <c r="H918" s="166"/>
    </row>
  </sheetData>
  <sheetProtection/>
  <mergeCells count="19">
    <mergeCell ref="A918:H918"/>
    <mergeCell ref="A12:F12"/>
    <mergeCell ref="A13:F13"/>
    <mergeCell ref="A21:F21"/>
    <mergeCell ref="A16:F16"/>
    <mergeCell ref="A18:F18"/>
    <mergeCell ref="C31:I31"/>
    <mergeCell ref="A37:I37"/>
    <mergeCell ref="A38:I38"/>
    <mergeCell ref="A23:F23"/>
    <mergeCell ref="A3:F3"/>
    <mergeCell ref="A4:F4"/>
    <mergeCell ref="A7:F7"/>
    <mergeCell ref="A9:F9"/>
    <mergeCell ref="C35:H35"/>
    <mergeCell ref="A19:F19"/>
    <mergeCell ref="G32:I32"/>
    <mergeCell ref="C33:H33"/>
    <mergeCell ref="C34:H34"/>
  </mergeCells>
  <printOptions/>
  <pageMargins left="0.7480314960629921" right="0.7480314960629921" top="0.5905511811023623" bottom="0.3149606299212598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2012-03-21T11:27:29Z</cp:lastPrinted>
  <dcterms:created xsi:type="dcterms:W3CDTF">2002-11-27T07:56:57Z</dcterms:created>
  <dcterms:modified xsi:type="dcterms:W3CDTF">2012-03-26T08:04:38Z</dcterms:modified>
  <cp:category/>
  <cp:version/>
  <cp:contentType/>
  <cp:contentStatus/>
</cp:coreProperties>
</file>